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43 школа сайт\2019-20\На сайт финансово-хоз деятельность 2020\"/>
    </mc:Choice>
  </mc:AlternateContent>
  <bookViews>
    <workbookView xWindow="120" yWindow="315" windowWidth="15480" windowHeight="10710" tabRatio="840"/>
  </bookViews>
  <sheets>
    <sheet name="мз" sheetId="12" r:id="rId1"/>
    <sheet name="свод" sheetId="9" r:id="rId2"/>
    <sheet name="пр.1+2 " sheetId="4" r:id="rId3"/>
    <sheet name="пр.3" sheetId="5" r:id="rId4"/>
    <sheet name="пр.4" sheetId="6" r:id="rId5"/>
    <sheet name="пр.5" sheetId="7" r:id="rId6"/>
    <sheet name="пр.6" sheetId="8" r:id="rId7"/>
    <sheet name="проверка 2020" sheetId="10" r:id="rId8"/>
    <sheet name="проверка 2021" sheetId="14" r:id="rId9"/>
    <sheet name="проверка 2022" sheetId="15" r:id="rId10"/>
    <sheet name="304" sheetId="13" r:id="rId11"/>
    <sheet name="прил.1+2 фок" sheetId="16" state="hidden" r:id="rId12"/>
    <sheet name="прил.3 фок" sheetId="17" state="hidden" r:id="rId13"/>
    <sheet name="прил.4 фок" sheetId="18" state="hidden" r:id="rId14"/>
    <sheet name="прил.5 фок" sheetId="19" state="hidden" r:id="rId15"/>
    <sheet name="прил.6 фок" sheetId="20" state="hidden" r:id="rId16"/>
    <sheet name="свод  фок" sheetId="21" state="hidden" r:id="rId17"/>
    <sheet name="проверка фок" sheetId="22" state="hidden" r:id="rId18"/>
    <sheet name="прил1.мероприятия" sheetId="23" state="hidden" r:id="rId19"/>
  </sheets>
  <externalReferences>
    <externalReference r:id="rId20"/>
    <externalReference r:id="rId21"/>
  </externalReferences>
  <definedNames>
    <definedName name="_xlnm.Print_Titles" localSheetId="16">'свод  фок'!$10:$10</definedName>
    <definedName name="_xlnm.Print_Area" localSheetId="0">мз!$A$1:$R$587</definedName>
    <definedName name="_xlnm.Print_Area" localSheetId="2">'пр.1+2 '!$A$1:$S$106</definedName>
    <definedName name="_xlnm.Print_Area" localSheetId="5">пр.5!$A$1:$H$39</definedName>
    <definedName name="_xlnm.Print_Area" localSheetId="11">'прил.1+2 фок'!$A$1:$H$105</definedName>
    <definedName name="_xlnm.Print_Area" localSheetId="12">'прил.3 фок'!$A$1:$F$88</definedName>
    <definedName name="_xlnm.Print_Area" localSheetId="14">'прил.5 фок'!$A$1:$I$28</definedName>
    <definedName name="_xlnm.Print_Area" localSheetId="15">'прил.6 фок'!$A$1:$F$28</definedName>
    <definedName name="_xlnm.Print_Area" localSheetId="1">свод!$A$1:$O$121</definedName>
    <definedName name="_xlnm.Print_Area" localSheetId="16">'свод  фок'!$A$1:$J$130</definedName>
  </definedNames>
  <calcPr calcId="162913"/>
</workbook>
</file>

<file path=xl/calcChain.xml><?xml version="1.0" encoding="utf-8"?>
<calcChain xmlns="http://schemas.openxmlformats.org/spreadsheetml/2006/main">
  <c r="C10" i="13" l="1"/>
  <c r="C28" i="14" l="1"/>
  <c r="C41" i="14"/>
  <c r="C41" i="15"/>
  <c r="C41" i="10"/>
  <c r="F69" i="4" l="1"/>
  <c r="C20" i="10"/>
  <c r="O31" i="4" l="1"/>
  <c r="O8" i="10" l="1"/>
  <c r="C19" i="15" l="1"/>
  <c r="C17" i="15"/>
  <c r="C19" i="14"/>
  <c r="C17" i="14"/>
  <c r="C87" i="4"/>
  <c r="C36" i="4"/>
  <c r="B36" i="4"/>
  <c r="B35" i="4"/>
  <c r="A36" i="4"/>
  <c r="N34" i="4"/>
  <c r="O30" i="4"/>
  <c r="H18" i="7" l="1"/>
  <c r="G70" i="4" l="1"/>
  <c r="C30" i="10" l="1"/>
  <c r="A27" i="6"/>
  <c r="A26" i="6"/>
  <c r="F24" i="5"/>
  <c r="D29" i="10"/>
  <c r="F56" i="5"/>
  <c r="F74" i="9" s="1"/>
  <c r="F34" i="5"/>
  <c r="F36" i="5"/>
  <c r="D27" i="10"/>
  <c r="F9" i="5"/>
  <c r="C40" i="10" l="1"/>
  <c r="C22" i="10"/>
  <c r="C21" i="10"/>
  <c r="C7" i="10" l="1"/>
  <c r="E4" i="10" l="1"/>
  <c r="L6" i="9"/>
  <c r="L50" i="9" s="1"/>
  <c r="K6" i="9"/>
  <c r="K107" i="9" s="1"/>
  <c r="J6" i="9"/>
  <c r="I6" i="9"/>
  <c r="H6" i="9"/>
  <c r="G6" i="9"/>
  <c r="K122" i="9"/>
  <c r="K72" i="9"/>
  <c r="K57" i="9"/>
  <c r="K45" i="9"/>
  <c r="K30" i="9"/>
  <c r="L122" i="9"/>
  <c r="L46" i="9"/>
  <c r="L31" i="9"/>
  <c r="L114" i="9"/>
  <c r="K40" i="9" l="1"/>
  <c r="K49" i="9"/>
  <c r="K62" i="9"/>
  <c r="L21" i="9"/>
  <c r="K35" i="9"/>
  <c r="K53" i="9"/>
  <c r="K76" i="9"/>
  <c r="K101" i="9"/>
  <c r="K86" i="9"/>
  <c r="K111" i="9"/>
  <c r="K16" i="9"/>
  <c r="K31" i="9"/>
  <c r="K41" i="9"/>
  <c r="K50" i="9"/>
  <c r="K61" i="9"/>
  <c r="K75" i="9"/>
  <c r="K98" i="9"/>
  <c r="K113" i="9"/>
  <c r="K36" i="9"/>
  <c r="K46" i="9"/>
  <c r="K54" i="9"/>
  <c r="K66" i="9"/>
  <c r="K82" i="9"/>
  <c r="K110" i="9"/>
  <c r="K87" i="9"/>
  <c r="K102" i="9"/>
  <c r="K114" i="9"/>
  <c r="K58" i="9"/>
  <c r="K71" i="9"/>
  <c r="K81" i="9"/>
  <c r="K91" i="9"/>
  <c r="K92" i="9" s="1"/>
  <c r="F6" i="9"/>
  <c r="L36" i="9"/>
  <c r="K17" i="9"/>
  <c r="K28" i="9"/>
  <c r="K42" i="9"/>
  <c r="K47" i="9"/>
  <c r="K51" i="9"/>
  <c r="K55" i="9"/>
  <c r="K59" i="9"/>
  <c r="K69" i="9"/>
  <c r="K73" i="9"/>
  <c r="K77" i="9"/>
  <c r="K88" i="9"/>
  <c r="K94" i="9"/>
  <c r="K99" i="9"/>
  <c r="K103" i="9"/>
  <c r="K108" i="9"/>
  <c r="K112" i="9"/>
  <c r="L16" i="9"/>
  <c r="L10" i="9" s="1"/>
  <c r="L41" i="9"/>
  <c r="K18" i="9"/>
  <c r="K23" i="9"/>
  <c r="K12" i="9" s="1"/>
  <c r="K29" i="9"/>
  <c r="K34" i="9"/>
  <c r="K39" i="9"/>
  <c r="K43" i="9" s="1"/>
  <c r="K48" i="9"/>
  <c r="K52" i="9"/>
  <c r="K56" i="9"/>
  <c r="K60" i="9"/>
  <c r="K65" i="9"/>
  <c r="K70" i="9"/>
  <c r="K74" i="9"/>
  <c r="K85" i="9"/>
  <c r="K89" i="9" s="1"/>
  <c r="K95" i="9"/>
  <c r="K100" i="9"/>
  <c r="K109" i="9"/>
  <c r="L58" i="9"/>
  <c r="L62" i="9"/>
  <c r="L72" i="9"/>
  <c r="L107" i="9"/>
  <c r="L111" i="9"/>
  <c r="L17" i="9"/>
  <c r="L22" i="9"/>
  <c r="L28" i="9"/>
  <c r="L42" i="9"/>
  <c r="L47" i="9"/>
  <c r="L51" i="9"/>
  <c r="L55" i="9"/>
  <c r="L59" i="9"/>
  <c r="L69" i="9"/>
  <c r="L73" i="9"/>
  <c r="L77" i="9"/>
  <c r="L88" i="9"/>
  <c r="L94" i="9"/>
  <c r="L99" i="9"/>
  <c r="L103" i="9"/>
  <c r="L108" i="9"/>
  <c r="L112" i="9"/>
  <c r="L54" i="9"/>
  <c r="L76" i="9"/>
  <c r="L82" i="9"/>
  <c r="L87" i="9"/>
  <c r="L98" i="9"/>
  <c r="L102" i="9"/>
  <c r="L23" i="9"/>
  <c r="L12" i="9" s="1"/>
  <c r="L34" i="9"/>
  <c r="L39" i="9"/>
  <c r="L48" i="9"/>
  <c r="L52" i="9"/>
  <c r="L56" i="9"/>
  <c r="L60" i="9"/>
  <c r="L65" i="9"/>
  <c r="L70" i="9"/>
  <c r="L74" i="9"/>
  <c r="L85" i="9"/>
  <c r="L95" i="9"/>
  <c r="L100" i="9"/>
  <c r="L109" i="9"/>
  <c r="L113" i="9"/>
  <c r="L18" i="9"/>
  <c r="L29" i="9"/>
  <c r="L14" i="9"/>
  <c r="L24" i="9"/>
  <c r="L30" i="9"/>
  <c r="L35" i="9"/>
  <c r="L40" i="9"/>
  <c r="L45" i="9"/>
  <c r="L49" i="9"/>
  <c r="L53" i="9"/>
  <c r="L57" i="9"/>
  <c r="L61" i="9"/>
  <c r="L66" i="9"/>
  <c r="L71" i="9"/>
  <c r="L75" i="9"/>
  <c r="L81" i="9"/>
  <c r="L86" i="9"/>
  <c r="L91" i="9"/>
  <c r="L92" i="9" s="1"/>
  <c r="L101" i="9"/>
  <c r="L110" i="9"/>
  <c r="E11" i="13"/>
  <c r="K67" i="9" l="1"/>
  <c r="K83" i="9"/>
  <c r="K37" i="9"/>
  <c r="K115" i="9"/>
  <c r="K32" i="9"/>
  <c r="K104" i="9"/>
  <c r="K63" i="9"/>
  <c r="L25" i="9"/>
  <c r="K96" i="9"/>
  <c r="K78" i="9"/>
  <c r="K19" i="9"/>
  <c r="L63" i="9"/>
  <c r="L13" i="9"/>
  <c r="L67" i="9"/>
  <c r="L32" i="9"/>
  <c r="L115" i="9"/>
  <c r="L83" i="9"/>
  <c r="L89" i="9"/>
  <c r="L43" i="9"/>
  <c r="L104" i="9"/>
  <c r="L37" i="9"/>
  <c r="L96" i="9"/>
  <c r="L78" i="9"/>
  <c r="L11" i="9"/>
  <c r="L19" i="9"/>
  <c r="D15" i="13"/>
  <c r="E15" i="13"/>
  <c r="F15" i="13"/>
  <c r="G15" i="13"/>
  <c r="D14" i="13"/>
  <c r="E14" i="13"/>
  <c r="F14" i="13"/>
  <c r="G14" i="13"/>
  <c r="D13" i="13"/>
  <c r="E13" i="13"/>
  <c r="F13" i="13"/>
  <c r="G13" i="13"/>
  <c r="D12" i="13"/>
  <c r="E12" i="13"/>
  <c r="F12" i="13"/>
  <c r="G12" i="13"/>
  <c r="D11" i="13"/>
  <c r="F11" i="13"/>
  <c r="G11" i="13"/>
  <c r="K105" i="9" l="1"/>
  <c r="L105" i="9"/>
  <c r="L116" i="9" s="1"/>
  <c r="L123" i="9" s="1"/>
  <c r="H14" i="13"/>
  <c r="H15" i="13"/>
  <c r="E40" i="10"/>
  <c r="O36" i="10"/>
  <c r="C16" i="13" l="1"/>
  <c r="B6" i="22"/>
  <c r="B34" i="22"/>
  <c r="C17" i="13" s="1"/>
  <c r="F29" i="5" l="1"/>
  <c r="F28" i="5"/>
  <c r="F22" i="7" l="1"/>
  <c r="F21" i="7"/>
  <c r="H21" i="7" s="1"/>
  <c r="F20" i="7"/>
  <c r="F19" i="7"/>
  <c r="H19" i="7" s="1"/>
  <c r="F17" i="7"/>
  <c r="F18" i="7"/>
  <c r="F13" i="7"/>
  <c r="F11" i="7"/>
  <c r="F10" i="7"/>
  <c r="P32" i="22" l="1"/>
  <c r="J32" i="22"/>
  <c r="M533" i="12"/>
  <c r="L533" i="12"/>
  <c r="K533" i="12"/>
  <c r="K464" i="12"/>
  <c r="M396" i="12"/>
  <c r="L396" i="12"/>
  <c r="K396" i="12"/>
  <c r="M330" i="12"/>
  <c r="L330" i="12"/>
  <c r="K330" i="12"/>
  <c r="M262" i="12"/>
  <c r="L262" i="12"/>
  <c r="K262" i="12"/>
  <c r="M194" i="12"/>
  <c r="L194" i="12"/>
  <c r="K194" i="12"/>
  <c r="M126" i="12"/>
  <c r="L126" i="12"/>
  <c r="K126" i="12"/>
  <c r="M58" i="12"/>
  <c r="L58" i="12"/>
  <c r="K58" i="12"/>
  <c r="P4" i="10"/>
  <c r="E48" i="22"/>
  <c r="N13" i="4" l="1"/>
  <c r="A397" i="12"/>
  <c r="A396" i="12"/>
  <c r="A331" i="12"/>
  <c r="A330" i="12"/>
  <c r="A464" i="12" l="1"/>
  <c r="D7" i="8" l="1"/>
  <c r="O13" i="16" l="1"/>
  <c r="G18" i="13" l="1"/>
  <c r="F18" i="13"/>
  <c r="E18" i="13"/>
  <c r="D18" i="13"/>
  <c r="H16" i="13"/>
  <c r="H17" i="13" l="1"/>
  <c r="F54" i="5"/>
  <c r="F53" i="5"/>
  <c r="F74" i="5" s="1"/>
  <c r="F52" i="5"/>
  <c r="F50" i="5"/>
  <c r="F49" i="5"/>
  <c r="F48" i="5"/>
  <c r="F47" i="5"/>
  <c r="F39" i="5"/>
  <c r="F38" i="5"/>
  <c r="F37" i="5"/>
  <c r="F35" i="5"/>
  <c r="F33" i="5"/>
  <c r="F26" i="5"/>
  <c r="F25" i="5"/>
  <c r="F56" i="9" s="1"/>
  <c r="F23" i="5"/>
  <c r="F22" i="5"/>
  <c r="F21" i="5"/>
  <c r="F20" i="5"/>
  <c r="F19" i="5"/>
  <c r="F18" i="5"/>
  <c r="F17" i="5"/>
  <c r="F16" i="5"/>
  <c r="F15" i="5"/>
  <c r="F14" i="5"/>
  <c r="F58" i="9" s="1"/>
  <c r="F13" i="5"/>
  <c r="F49" i="9" s="1"/>
  <c r="F12" i="5"/>
  <c r="F52" i="9" s="1"/>
  <c r="F11" i="5"/>
  <c r="F10" i="5"/>
  <c r="F8" i="5"/>
  <c r="F7" i="5"/>
  <c r="F59" i="9" s="1"/>
  <c r="F6" i="5"/>
  <c r="F24" i="7"/>
  <c r="H24" i="7" s="1"/>
  <c r="F23" i="7"/>
  <c r="H23" i="7" s="1"/>
  <c r="O36" i="4"/>
  <c r="M36" i="4"/>
  <c r="A86" i="4" s="1"/>
  <c r="O9" i="4"/>
  <c r="O14" i="16"/>
  <c r="F103" i="9" l="1"/>
  <c r="F65" i="9"/>
  <c r="F31" i="5"/>
  <c r="F45" i="9"/>
  <c r="F51" i="5"/>
  <c r="B7" i="16"/>
  <c r="F55" i="5" l="1"/>
  <c r="P42" i="4" l="1"/>
  <c r="M42" i="4"/>
  <c r="Q41" i="4"/>
  <c r="R41" i="4"/>
  <c r="N40" i="4"/>
  <c r="N42" i="4" s="1"/>
  <c r="P36" i="4"/>
  <c r="P38" i="4" s="1"/>
  <c r="M38" i="4"/>
  <c r="Q35" i="4"/>
  <c r="R35" i="4"/>
  <c r="N36" i="4"/>
  <c r="O19" i="4"/>
  <c r="M19" i="4"/>
  <c r="Q18" i="4"/>
  <c r="P18" i="4"/>
  <c r="L18" i="4"/>
  <c r="L19" i="4" s="1"/>
  <c r="N17" i="4"/>
  <c r="N19" i="4" s="1"/>
  <c r="N8" i="16"/>
  <c r="N9" i="16" s="1"/>
  <c r="Q42" i="4" l="1"/>
  <c r="Q36" i="4"/>
  <c r="P19" i="4"/>
  <c r="O38" i="4"/>
  <c r="N38" i="4"/>
  <c r="Q38" i="4" s="1"/>
  <c r="O42" i="4"/>
  <c r="R42" i="4" s="1"/>
  <c r="L35" i="4"/>
  <c r="L36" i="4" s="1"/>
  <c r="L38" i="4" s="1"/>
  <c r="L41" i="4"/>
  <c r="L42" i="4" s="1"/>
  <c r="R36" i="4"/>
  <c r="Q19" i="4"/>
  <c r="R38" i="4" l="1"/>
  <c r="F77" i="9"/>
  <c r="O15" i="4"/>
  <c r="M15" i="4"/>
  <c r="Q14" i="4"/>
  <c r="P14" i="4"/>
  <c r="L14" i="4"/>
  <c r="L15" i="4" s="1"/>
  <c r="N15" i="4"/>
  <c r="L31" i="4"/>
  <c r="L32" i="4" s="1"/>
  <c r="M32" i="4"/>
  <c r="P32" i="4"/>
  <c r="N22" i="4"/>
  <c r="P15" i="4" l="1"/>
  <c r="Q15" i="4"/>
  <c r="O32" i="4"/>
  <c r="N30" i="4"/>
  <c r="N32" i="4" s="1"/>
  <c r="H22" i="7" l="1"/>
  <c r="H17" i="7"/>
  <c r="F16" i="7"/>
  <c r="H16" i="7" s="1"/>
  <c r="F15" i="7"/>
  <c r="H15" i="7" s="1"/>
  <c r="H13" i="7"/>
  <c r="F14" i="7"/>
  <c r="H10" i="7"/>
  <c r="F8" i="7"/>
  <c r="H8" i="7" s="1"/>
  <c r="M6" i="9" l="1"/>
  <c r="E73" i="23" l="1"/>
  <c r="E72" i="23"/>
  <c r="C66" i="23"/>
  <c r="B66" i="23"/>
  <c r="A66" i="23"/>
  <c r="F64" i="23"/>
  <c r="G64" i="23" s="1"/>
  <c r="O34" i="23"/>
  <c r="N33" i="23"/>
  <c r="Q33" i="23" s="1"/>
  <c r="M33" i="23"/>
  <c r="N32" i="23"/>
  <c r="M32" i="23"/>
  <c r="O29" i="23"/>
  <c r="M29" i="23"/>
  <c r="Q28" i="23"/>
  <c r="P28" i="23"/>
  <c r="L28" i="23"/>
  <c r="L29" i="23" s="1"/>
  <c r="N27" i="23"/>
  <c r="N29" i="23" s="1"/>
  <c r="P29" i="23" s="1"/>
  <c r="L22" i="23"/>
  <c r="N22" i="23" s="1"/>
  <c r="E21" i="23"/>
  <c r="M20" i="23"/>
  <c r="E20" i="23"/>
  <c r="O19" i="23"/>
  <c r="N19" i="23"/>
  <c r="P19" i="23" s="1"/>
  <c r="O18" i="23"/>
  <c r="N18" i="23"/>
  <c r="E17" i="23"/>
  <c r="M16" i="23"/>
  <c r="E16" i="23"/>
  <c r="O15" i="23"/>
  <c r="Q15" i="23" s="1"/>
  <c r="N15" i="23"/>
  <c r="P15" i="23" s="1"/>
  <c r="O14" i="23"/>
  <c r="N14" i="23" s="1"/>
  <c r="N16" i="23" s="1"/>
  <c r="P16" i="23" s="1"/>
  <c r="O12" i="23"/>
  <c r="M12" i="23"/>
  <c r="A63" i="23" s="1"/>
  <c r="V11" i="23"/>
  <c r="A67" i="23" s="1"/>
  <c r="Q11" i="23"/>
  <c r="P11" i="23"/>
  <c r="L11" i="23"/>
  <c r="L12" i="23" s="1"/>
  <c r="G10" i="23"/>
  <c r="H10" i="23" s="1"/>
  <c r="W9" i="23"/>
  <c r="U9" i="23" s="1"/>
  <c r="U11" i="23" s="1"/>
  <c r="D9" i="23"/>
  <c r="G9" i="23" s="1"/>
  <c r="H9" i="23" s="1"/>
  <c r="X8" i="23"/>
  <c r="W8" i="23" s="1"/>
  <c r="W11" i="23" s="1"/>
  <c r="N8" i="23"/>
  <c r="N12" i="23" s="1"/>
  <c r="G7" i="23"/>
  <c r="H7" i="23" s="1"/>
  <c r="I6" i="23"/>
  <c r="J62" i="23" s="1"/>
  <c r="G6" i="23"/>
  <c r="O20" i="23" l="1"/>
  <c r="M34" i="23"/>
  <c r="O16" i="23"/>
  <c r="Q16" i="23" s="1"/>
  <c r="Q19" i="23"/>
  <c r="L15" i="23"/>
  <c r="L16" i="23" s="1"/>
  <c r="N20" i="23"/>
  <c r="P20" i="23" s="1"/>
  <c r="C43" i="22"/>
  <c r="M76" i="9"/>
  <c r="X11" i="23"/>
  <c r="Y11" i="23"/>
  <c r="B67" i="23" s="1"/>
  <c r="F66" i="23"/>
  <c r="G66" i="23" s="1"/>
  <c r="Q29" i="23"/>
  <c r="N34" i="23"/>
  <c r="P34" i="23" s="1"/>
  <c r="L62" i="23"/>
  <c r="K62" i="23"/>
  <c r="M62" i="23"/>
  <c r="Z11" i="23"/>
  <c r="C67" i="23" s="1"/>
  <c r="F67" i="23" s="1"/>
  <c r="G67" i="23" s="1"/>
  <c r="G11" i="23"/>
  <c r="Q12" i="23"/>
  <c r="C63" i="23" s="1"/>
  <c r="P12" i="23"/>
  <c r="B63" i="23" s="1"/>
  <c r="H6" i="23"/>
  <c r="H11" i="23" s="1"/>
  <c r="Y9" i="23"/>
  <c r="Z9" i="23"/>
  <c r="P33" i="23"/>
  <c r="L19" i="23"/>
  <c r="L20" i="23" s="1"/>
  <c r="L33" i="23"/>
  <c r="L34" i="23" s="1"/>
  <c r="Q20" i="23" l="1"/>
  <c r="S31" i="23"/>
  <c r="J63" i="23"/>
  <c r="K63" i="23" s="1"/>
  <c r="K64" i="23" s="1"/>
  <c r="Q34" i="23"/>
  <c r="F63" i="23"/>
  <c r="J64" i="23" l="1"/>
  <c r="M63" i="23"/>
  <c r="M64" i="23" s="1"/>
  <c r="L63" i="23"/>
  <c r="L64" i="23" s="1"/>
  <c r="F68" i="23"/>
  <c r="G63" i="23"/>
  <c r="G68" i="23" s="1"/>
  <c r="F35" i="17" l="1"/>
  <c r="O122" i="9" l="1"/>
  <c r="L81" i="22"/>
  <c r="L81" i="16"/>
  <c r="N81" i="22"/>
  <c r="O6" i="9" l="1"/>
  <c r="O96" i="9"/>
  <c r="O92" i="9"/>
  <c r="O89" i="9"/>
  <c r="O83" i="9"/>
  <c r="O37" i="9"/>
  <c r="O112" i="9" l="1"/>
  <c r="O75" i="9"/>
  <c r="O51" i="9"/>
  <c r="O56" i="9"/>
  <c r="O60" i="9"/>
  <c r="O109" i="9"/>
  <c r="O111" i="9"/>
  <c r="O74" i="9"/>
  <c r="O48" i="9"/>
  <c r="O52" i="9"/>
  <c r="O57" i="9"/>
  <c r="O18" i="9"/>
  <c r="O13" i="9" s="1"/>
  <c r="O59" i="9"/>
  <c r="O114" i="9"/>
  <c r="O110" i="9"/>
  <c r="O77" i="9"/>
  <c r="O73" i="9"/>
  <c r="O53" i="9"/>
  <c r="O58" i="9"/>
  <c r="O113" i="9"/>
  <c r="O72" i="9"/>
  <c r="N70" i="9" l="1"/>
  <c r="O70" i="9" s="1"/>
  <c r="N12" i="9"/>
  <c r="N13" i="9"/>
  <c r="N25" i="9"/>
  <c r="N96" i="9"/>
  <c r="N92" i="9"/>
  <c r="N89" i="9"/>
  <c r="N83" i="9"/>
  <c r="N37" i="9"/>
  <c r="N29" i="9"/>
  <c r="M51" i="9" l="1"/>
  <c r="C33" i="10" l="1"/>
  <c r="C28" i="15"/>
  <c r="B46" i="22" l="1"/>
  <c r="D46" i="4" l="1"/>
  <c r="D13" i="10" s="1"/>
  <c r="E13" i="10" s="1"/>
  <c r="H11" i="10" l="1"/>
  <c r="T9" i="15" l="1"/>
  <c r="S9" i="15"/>
  <c r="R9" i="15"/>
  <c r="T8" i="15"/>
  <c r="S8" i="15"/>
  <c r="R8" i="15"/>
  <c r="S9" i="10"/>
  <c r="T8" i="10"/>
  <c r="R8" i="10"/>
  <c r="O8" i="14"/>
  <c r="T9" i="14"/>
  <c r="S9" i="14"/>
  <c r="R9" i="14"/>
  <c r="T8" i="14"/>
  <c r="S8" i="14"/>
  <c r="R8" i="14"/>
  <c r="T9" i="10"/>
  <c r="R9" i="10"/>
  <c r="S8" i="10"/>
  <c r="G8" i="21" l="1"/>
  <c r="D8" i="21" s="1"/>
  <c r="D16" i="21" s="1"/>
  <c r="G16" i="21" s="1"/>
  <c r="Q43" i="22"/>
  <c r="P43" i="22"/>
  <c r="K43" i="22"/>
  <c r="J43" i="22"/>
  <c r="E43" i="22"/>
  <c r="D43" i="22"/>
  <c r="Q42" i="22"/>
  <c r="P42" i="22"/>
  <c r="K42" i="22"/>
  <c r="J42" i="22"/>
  <c r="E42" i="22"/>
  <c r="C42" i="22"/>
  <c r="D42" i="22" s="1"/>
  <c r="Q41" i="22"/>
  <c r="P41" i="22"/>
  <c r="K41" i="22"/>
  <c r="J41" i="22"/>
  <c r="E41" i="22"/>
  <c r="C41" i="22"/>
  <c r="D41" i="22" s="1"/>
  <c r="Q40" i="22"/>
  <c r="P40" i="22"/>
  <c r="O40" i="22"/>
  <c r="K40" i="22"/>
  <c r="I40" i="22"/>
  <c r="J40" i="22" s="1"/>
  <c r="E40" i="22"/>
  <c r="C40" i="22"/>
  <c r="D40" i="22" s="1"/>
  <c r="Q39" i="22"/>
  <c r="P39" i="22"/>
  <c r="K39" i="22"/>
  <c r="J39" i="22"/>
  <c r="E39" i="22"/>
  <c r="D39" i="22"/>
  <c r="Q38" i="22"/>
  <c r="O38" i="22"/>
  <c r="P38" i="22" s="1"/>
  <c r="K38" i="22"/>
  <c r="I38" i="22"/>
  <c r="J38" i="22" s="1"/>
  <c r="E38" i="22"/>
  <c r="C38" i="22"/>
  <c r="D38" i="22" s="1"/>
  <c r="Q37" i="22"/>
  <c r="O37" i="22"/>
  <c r="P37" i="22" s="1"/>
  <c r="K37" i="22"/>
  <c r="I37" i="22"/>
  <c r="J37" i="22" s="1"/>
  <c r="E37" i="22"/>
  <c r="C37" i="22"/>
  <c r="D37" i="22" s="1"/>
  <c r="Q36" i="22"/>
  <c r="P36" i="22"/>
  <c r="K36" i="22"/>
  <c r="J36" i="22"/>
  <c r="E36" i="22"/>
  <c r="D36" i="22"/>
  <c r="Q35" i="22"/>
  <c r="O35" i="22"/>
  <c r="K35" i="22"/>
  <c r="I35" i="22"/>
  <c r="E35" i="22"/>
  <c r="C35" i="22"/>
  <c r="D35" i="22" s="1"/>
  <c r="C30" i="22"/>
  <c r="Q29" i="22"/>
  <c r="P29" i="22"/>
  <c r="K29" i="22"/>
  <c r="J29" i="22"/>
  <c r="E29" i="22"/>
  <c r="Q28" i="22"/>
  <c r="P28" i="22"/>
  <c r="K28" i="22"/>
  <c r="J28" i="22"/>
  <c r="E28" i="22"/>
  <c r="Q27" i="22"/>
  <c r="P27" i="22"/>
  <c r="K27" i="22"/>
  <c r="J27" i="22"/>
  <c r="E27" i="22"/>
  <c r="Q26" i="22"/>
  <c r="P26" i="22"/>
  <c r="K26" i="22"/>
  <c r="J26" i="22"/>
  <c r="E26" i="22"/>
  <c r="Q25" i="22"/>
  <c r="P25" i="22"/>
  <c r="K25" i="22"/>
  <c r="J25" i="22"/>
  <c r="E25" i="22"/>
  <c r="Q24" i="22"/>
  <c r="P24" i="22"/>
  <c r="K24" i="22"/>
  <c r="J24" i="22"/>
  <c r="E24" i="22"/>
  <c r="Q23" i="22"/>
  <c r="P23" i="22"/>
  <c r="K23" i="22"/>
  <c r="J23" i="22"/>
  <c r="E23" i="22"/>
  <c r="Q22" i="22"/>
  <c r="P22" i="22"/>
  <c r="K22" i="22"/>
  <c r="J22" i="22"/>
  <c r="E22" i="22"/>
  <c r="D22" i="22"/>
  <c r="Q21" i="22"/>
  <c r="Q20" i="22" s="1"/>
  <c r="P21" i="22"/>
  <c r="K21" i="22"/>
  <c r="K20" i="22" s="1"/>
  <c r="J21" i="22"/>
  <c r="E21" i="22"/>
  <c r="O20" i="22"/>
  <c r="N20" i="22"/>
  <c r="I20" i="22"/>
  <c r="H20" i="22"/>
  <c r="B20" i="22"/>
  <c r="E20" i="22" s="1"/>
  <c r="Q17" i="22"/>
  <c r="O17" i="22"/>
  <c r="K17" i="22"/>
  <c r="I17" i="22"/>
  <c r="J17" i="22" s="1"/>
  <c r="E17" i="22"/>
  <c r="Q16" i="22"/>
  <c r="O16" i="22"/>
  <c r="P16" i="22" s="1"/>
  <c r="K16" i="22"/>
  <c r="I16" i="22"/>
  <c r="I6" i="22" s="1"/>
  <c r="E16" i="22"/>
  <c r="P15" i="22"/>
  <c r="J15" i="22"/>
  <c r="P14" i="22"/>
  <c r="J14" i="22"/>
  <c r="E14" i="22"/>
  <c r="P13" i="22"/>
  <c r="J13" i="22"/>
  <c r="E13" i="22"/>
  <c r="P12" i="22"/>
  <c r="J12" i="22"/>
  <c r="E12" i="22"/>
  <c r="P11" i="22"/>
  <c r="J11" i="22"/>
  <c r="E11" i="22"/>
  <c r="P10" i="22"/>
  <c r="J10" i="22"/>
  <c r="E10" i="22"/>
  <c r="P9" i="22"/>
  <c r="J9" i="22"/>
  <c r="E9" i="22"/>
  <c r="P8" i="22"/>
  <c r="J8" i="22"/>
  <c r="E8" i="22"/>
  <c r="P7" i="22"/>
  <c r="J7" i="22"/>
  <c r="E7" i="22"/>
  <c r="N6" i="22"/>
  <c r="N47" i="22" s="1"/>
  <c r="H6" i="22"/>
  <c r="H47" i="22" s="1"/>
  <c r="J4" i="22"/>
  <c r="L464" i="12" s="1"/>
  <c r="I8" i="21"/>
  <c r="I28" i="21" s="1"/>
  <c r="J15" i="21"/>
  <c r="J17" i="21" s="1"/>
  <c r="H12" i="21"/>
  <c r="H14" i="21"/>
  <c r="I15" i="21"/>
  <c r="H16" i="21"/>
  <c r="H20" i="21"/>
  <c r="H22" i="21"/>
  <c r="C23" i="22" s="1"/>
  <c r="D23" i="22" s="1"/>
  <c r="J24" i="21"/>
  <c r="A26" i="21"/>
  <c r="A27" i="21"/>
  <c r="H27" i="21"/>
  <c r="A28" i="21"/>
  <c r="A29" i="21"/>
  <c r="A30" i="21"/>
  <c r="A31" i="21"/>
  <c r="H31" i="21"/>
  <c r="A32" i="21"/>
  <c r="H32" i="21"/>
  <c r="I32" i="21" s="1"/>
  <c r="A33" i="21"/>
  <c r="H33" i="21"/>
  <c r="A34" i="21"/>
  <c r="H34" i="21"/>
  <c r="I34" i="21" s="1"/>
  <c r="A35" i="21"/>
  <c r="A36" i="21"/>
  <c r="H36" i="21"/>
  <c r="A37" i="21"/>
  <c r="H37" i="21"/>
  <c r="A38" i="21"/>
  <c r="H38" i="21"/>
  <c r="A39" i="21"/>
  <c r="H39" i="21"/>
  <c r="A40" i="21"/>
  <c r="A41" i="21"/>
  <c r="A42" i="21"/>
  <c r="A43" i="21"/>
  <c r="A44" i="21"/>
  <c r="F44" i="21"/>
  <c r="J45" i="21"/>
  <c r="H47" i="21"/>
  <c r="C24" i="22" s="1"/>
  <c r="D24" i="22" s="1"/>
  <c r="G49" i="21"/>
  <c r="G51" i="21"/>
  <c r="I51" i="21"/>
  <c r="G52" i="21"/>
  <c r="G54" i="21"/>
  <c r="G56" i="21"/>
  <c r="I57" i="21"/>
  <c r="G59" i="21"/>
  <c r="G61" i="21"/>
  <c r="G63" i="21"/>
  <c r="G65" i="21"/>
  <c r="G67" i="21"/>
  <c r="G69" i="21"/>
  <c r="I70" i="21"/>
  <c r="A72" i="21"/>
  <c r="F72" i="21"/>
  <c r="G72" i="21"/>
  <c r="H72" i="21"/>
  <c r="C25" i="22" s="1"/>
  <c r="D25" i="22" s="1"/>
  <c r="J73" i="21"/>
  <c r="H75" i="21"/>
  <c r="A77" i="21"/>
  <c r="H77" i="21"/>
  <c r="A78" i="21"/>
  <c r="F78" i="21"/>
  <c r="I78" i="21"/>
  <c r="A79" i="21"/>
  <c r="H79" i="21"/>
  <c r="A80" i="21"/>
  <c r="H80" i="21"/>
  <c r="I80" i="21" s="1"/>
  <c r="A81" i="21"/>
  <c r="A82" i="21"/>
  <c r="A83" i="21"/>
  <c r="A84" i="21"/>
  <c r="I84" i="21"/>
  <c r="F85" i="21"/>
  <c r="J86" i="21"/>
  <c r="I94" i="21"/>
  <c r="H97" i="21"/>
  <c r="J97" i="21"/>
  <c r="H100" i="21"/>
  <c r="J100" i="21"/>
  <c r="H104" i="21"/>
  <c r="J104" i="21"/>
  <c r="I109" i="21"/>
  <c r="H112" i="21"/>
  <c r="J112" i="21"/>
  <c r="J113" i="21" s="1"/>
  <c r="F117" i="21"/>
  <c r="F118" i="21"/>
  <c r="F119" i="21"/>
  <c r="I120" i="21"/>
  <c r="H123" i="21"/>
  <c r="J123" i="21"/>
  <c r="F127" i="21"/>
  <c r="F131" i="21"/>
  <c r="G131" i="21"/>
  <c r="I131" i="21"/>
  <c r="D6" i="20"/>
  <c r="D7" i="20"/>
  <c r="D8" i="20"/>
  <c r="C22" i="20"/>
  <c r="D22" i="20"/>
  <c r="C23" i="20"/>
  <c r="D23" i="20"/>
  <c r="C24" i="20"/>
  <c r="D24" i="20"/>
  <c r="C25" i="20"/>
  <c r="D25" i="20"/>
  <c r="C26" i="20"/>
  <c r="D26" i="20"/>
  <c r="C27" i="20"/>
  <c r="D27" i="20"/>
  <c r="G6" i="19"/>
  <c r="I6" i="19" s="1"/>
  <c r="G7" i="19"/>
  <c r="I7" i="19" s="1"/>
  <c r="G8" i="19"/>
  <c r="I8" i="19" s="1"/>
  <c r="G9" i="19"/>
  <c r="I9" i="19" s="1"/>
  <c r="G10" i="19"/>
  <c r="I10" i="19" s="1"/>
  <c r="G11" i="19"/>
  <c r="I11" i="19" s="1"/>
  <c r="G12" i="19"/>
  <c r="I12" i="19" s="1"/>
  <c r="G13" i="19"/>
  <c r="I13" i="19" s="1"/>
  <c r="G14" i="19"/>
  <c r="I14" i="19" s="1"/>
  <c r="G15" i="19"/>
  <c r="I15" i="19" s="1"/>
  <c r="G16" i="19"/>
  <c r="I16" i="19" s="1"/>
  <c r="G17" i="19"/>
  <c r="I17" i="19" s="1"/>
  <c r="G18" i="19"/>
  <c r="I18" i="19" s="1"/>
  <c r="G19" i="19"/>
  <c r="I19" i="19" s="1"/>
  <c r="F25" i="20" s="1"/>
  <c r="G20" i="19"/>
  <c r="I20" i="19" s="1"/>
  <c r="G21" i="19"/>
  <c r="G22" i="19"/>
  <c r="I22" i="19" s="1"/>
  <c r="F6" i="18"/>
  <c r="F89" i="21" s="1"/>
  <c r="F7" i="18"/>
  <c r="F8" i="18"/>
  <c r="F9" i="18"/>
  <c r="F11" i="18"/>
  <c r="F12" i="18"/>
  <c r="F26" i="18"/>
  <c r="F93" i="21" s="1"/>
  <c r="F27" i="18"/>
  <c r="F94" i="21" s="1"/>
  <c r="F28" i="18"/>
  <c r="F95" i="21" s="1"/>
  <c r="F36" i="18"/>
  <c r="F99" i="21" s="1"/>
  <c r="F37" i="18"/>
  <c r="F43" i="18"/>
  <c r="F102" i="21" s="1"/>
  <c r="F44" i="18"/>
  <c r="F103" i="21" s="1"/>
  <c r="F45" i="18"/>
  <c r="F6" i="17"/>
  <c r="F7" i="17"/>
  <c r="F8" i="17"/>
  <c r="F9" i="17"/>
  <c r="F10" i="17"/>
  <c r="F11" i="17"/>
  <c r="F12" i="17"/>
  <c r="F13" i="17"/>
  <c r="F14" i="17"/>
  <c r="F15" i="17"/>
  <c r="F35" i="21" s="1"/>
  <c r="F16" i="17"/>
  <c r="F36" i="21" s="1"/>
  <c r="F17" i="17"/>
  <c r="F37" i="21" s="1"/>
  <c r="F18" i="17"/>
  <c r="F38" i="21" s="1"/>
  <c r="F19" i="17"/>
  <c r="F39" i="21" s="1"/>
  <c r="F20" i="17"/>
  <c r="F40" i="21" s="1"/>
  <c r="F21" i="17"/>
  <c r="F41" i="21" s="1"/>
  <c r="F22" i="17"/>
  <c r="F42" i="21" s="1"/>
  <c r="F23" i="17"/>
  <c r="F43" i="21" s="1"/>
  <c r="F36" i="17"/>
  <c r="F37" i="17"/>
  <c r="F38" i="17"/>
  <c r="F39" i="17"/>
  <c r="F40" i="17"/>
  <c r="F41" i="17"/>
  <c r="F43" i="17"/>
  <c r="N66" i="9" s="1"/>
  <c r="O66" i="9" s="1"/>
  <c r="B47" i="17"/>
  <c r="B48" i="17"/>
  <c r="B49" i="17"/>
  <c r="B50" i="17"/>
  <c r="B51" i="17"/>
  <c r="B59" i="17"/>
  <c r="C15" i="22" s="1"/>
  <c r="F64" i="17"/>
  <c r="F65" i="17"/>
  <c r="F66" i="17"/>
  <c r="F69" i="17"/>
  <c r="F70" i="17"/>
  <c r="F80" i="21" s="1"/>
  <c r="F71" i="17"/>
  <c r="F81" i="21" s="1"/>
  <c r="F72" i="17"/>
  <c r="F73" i="17"/>
  <c r="F83" i="21" s="1"/>
  <c r="F74" i="17"/>
  <c r="F84" i="21" s="1"/>
  <c r="F79" i="17"/>
  <c r="F80" i="17"/>
  <c r="F81" i="17"/>
  <c r="F83" i="17"/>
  <c r="B6" i="16"/>
  <c r="B8" i="16"/>
  <c r="B9" i="16"/>
  <c r="L9" i="16"/>
  <c r="P9" i="16"/>
  <c r="C6" i="16" s="1"/>
  <c r="Q9" i="16"/>
  <c r="D6" i="16" s="1"/>
  <c r="B10" i="16"/>
  <c r="M10" i="16"/>
  <c r="A45" i="16" s="1"/>
  <c r="M15" i="16"/>
  <c r="P15" i="16" s="1"/>
  <c r="B46" i="16" s="1"/>
  <c r="O15" i="16"/>
  <c r="D16" i="16"/>
  <c r="D17" i="16"/>
  <c r="N18" i="16"/>
  <c r="N20" i="16" s="1"/>
  <c r="Q20" i="16" s="1"/>
  <c r="C47" i="16" s="1"/>
  <c r="L19" i="16"/>
  <c r="L20" i="16" s="1"/>
  <c r="P19" i="16"/>
  <c r="C8" i="16" s="1"/>
  <c r="Q19" i="16"/>
  <c r="D8" i="16" s="1"/>
  <c r="M20" i="16"/>
  <c r="P20" i="16" s="1"/>
  <c r="B47" i="16" s="1"/>
  <c r="O20" i="16"/>
  <c r="N23" i="16"/>
  <c r="N25" i="16" s="1"/>
  <c r="Q25" i="16" s="1"/>
  <c r="C48" i="16" s="1"/>
  <c r="L24" i="16"/>
  <c r="P24" i="16"/>
  <c r="C9" i="16" s="1"/>
  <c r="Q24" i="16"/>
  <c r="D9" i="16" s="1"/>
  <c r="B25" i="16"/>
  <c r="L25" i="16"/>
  <c r="M25" i="16"/>
  <c r="P25" i="16" s="1"/>
  <c r="B48" i="16" s="1"/>
  <c r="O25" i="16"/>
  <c r="B26" i="16"/>
  <c r="N28" i="16"/>
  <c r="N30" i="16" s="1"/>
  <c r="Q30" i="16" s="1"/>
  <c r="C49" i="16" s="1"/>
  <c r="P29" i="16"/>
  <c r="C10" i="16" s="1"/>
  <c r="Q29" i="16"/>
  <c r="D10" i="16" s="1"/>
  <c r="L30" i="16"/>
  <c r="M30" i="16"/>
  <c r="O30" i="16"/>
  <c r="D59" i="16"/>
  <c r="B59" i="16" s="1"/>
  <c r="D60" i="16"/>
  <c r="C17" i="22" s="1"/>
  <c r="D17" i="22" s="1"/>
  <c r="D68" i="16"/>
  <c r="D69" i="16"/>
  <c r="N79" i="16"/>
  <c r="N81" i="16" s="1"/>
  <c r="Q81" i="16" s="1"/>
  <c r="M80" i="16"/>
  <c r="Q80" i="16"/>
  <c r="D82" i="16" s="1"/>
  <c r="O81" i="16"/>
  <c r="P81" i="16" s="1"/>
  <c r="G84" i="16"/>
  <c r="H84" i="16" s="1"/>
  <c r="N84" i="16"/>
  <c r="G85" i="16"/>
  <c r="H85" i="16" s="1"/>
  <c r="L85" i="16"/>
  <c r="M85" i="16"/>
  <c r="P85" i="16" s="1"/>
  <c r="C83" i="16" s="1"/>
  <c r="Q85" i="16"/>
  <c r="D83" i="16" s="1"/>
  <c r="G86" i="16"/>
  <c r="H86" i="16" s="1"/>
  <c r="O86" i="16"/>
  <c r="P86" i="16" s="1"/>
  <c r="B95" i="16" s="1"/>
  <c r="A94" i="16"/>
  <c r="F94" i="16" s="1"/>
  <c r="G94" i="16" s="1"/>
  <c r="A95" i="16"/>
  <c r="F96" i="16"/>
  <c r="G96" i="16" s="1"/>
  <c r="F97" i="16"/>
  <c r="G97" i="16" s="1"/>
  <c r="F98" i="16"/>
  <c r="G98" i="16" s="1"/>
  <c r="M107" i="9"/>
  <c r="G96" i="21" l="1"/>
  <c r="G71" i="21"/>
  <c r="G70" i="21"/>
  <c r="G68" i="21"/>
  <c r="G66" i="21"/>
  <c r="G64" i="21"/>
  <c r="G62" i="21"/>
  <c r="G60" i="21"/>
  <c r="G58" i="21"/>
  <c r="G57" i="21"/>
  <c r="G55" i="21"/>
  <c r="G53" i="21"/>
  <c r="G50" i="21"/>
  <c r="G48" i="21"/>
  <c r="J35" i="22"/>
  <c r="I34" i="22"/>
  <c r="P35" i="22"/>
  <c r="P34" i="22" s="1"/>
  <c r="O34" i="22"/>
  <c r="G6" i="16"/>
  <c r="H6" i="16" s="1"/>
  <c r="I117" i="21"/>
  <c r="I110" i="21"/>
  <c r="I82" i="21"/>
  <c r="I75" i="21"/>
  <c r="I86" i="21" s="1"/>
  <c r="I59" i="21"/>
  <c r="I53" i="21"/>
  <c r="I93" i="21"/>
  <c r="I68" i="21"/>
  <c r="I16" i="21"/>
  <c r="I20" i="21"/>
  <c r="I24" i="21" s="1"/>
  <c r="C95" i="16"/>
  <c r="E34" i="22"/>
  <c r="Q34" i="22"/>
  <c r="A48" i="16"/>
  <c r="F48" i="16" s="1"/>
  <c r="G48" i="16" s="1"/>
  <c r="N14" i="16"/>
  <c r="F15" i="21"/>
  <c r="F42" i="17"/>
  <c r="F47" i="21" s="1"/>
  <c r="D47" i="21" s="1"/>
  <c r="F22" i="20"/>
  <c r="F95" i="16"/>
  <c r="G95" i="16" s="1"/>
  <c r="B83" i="16"/>
  <c r="N100" i="9"/>
  <c r="O100" i="9" s="1"/>
  <c r="A46" i="16"/>
  <c r="F111" i="21"/>
  <c r="N103" i="9"/>
  <c r="O103" i="9" s="1"/>
  <c r="F82" i="21"/>
  <c r="D82" i="21" s="1"/>
  <c r="G82" i="21" s="1"/>
  <c r="N71" i="9"/>
  <c r="O71" i="9" s="1"/>
  <c r="F109" i="21"/>
  <c r="D109" i="21" s="1"/>
  <c r="G109" i="21" s="1"/>
  <c r="N101" i="9"/>
  <c r="O101" i="9" s="1"/>
  <c r="F107" i="21"/>
  <c r="D107" i="21" s="1"/>
  <c r="G107" i="21" s="1"/>
  <c r="N99" i="9"/>
  <c r="O99" i="9" s="1"/>
  <c r="F10" i="18"/>
  <c r="F24" i="20"/>
  <c r="J124" i="21"/>
  <c r="O6" i="22"/>
  <c r="F106" i="21"/>
  <c r="D106" i="21" s="1"/>
  <c r="N98" i="9"/>
  <c r="O98" i="9" s="1"/>
  <c r="A47" i="16"/>
  <c r="F47" i="16" s="1"/>
  <c r="G47" i="16" s="1"/>
  <c r="F67" i="17"/>
  <c r="B53" i="17"/>
  <c r="F75" i="21" s="1"/>
  <c r="F116" i="21"/>
  <c r="N108" i="9"/>
  <c r="O108" i="9" s="1"/>
  <c r="H24" i="21"/>
  <c r="F108" i="21"/>
  <c r="D108" i="21" s="1"/>
  <c r="G108" i="21" s="1"/>
  <c r="G10" i="16"/>
  <c r="H10" i="16" s="1"/>
  <c r="F79" i="21"/>
  <c r="N76" i="9"/>
  <c r="O76" i="9" s="1"/>
  <c r="I21" i="19"/>
  <c r="F27" i="20" s="1"/>
  <c r="F23" i="20"/>
  <c r="Q10" i="16"/>
  <c r="C45" i="16" s="1"/>
  <c r="I22" i="21"/>
  <c r="B60" i="16"/>
  <c r="K34" i="22"/>
  <c r="I119" i="21"/>
  <c r="I107" i="21"/>
  <c r="I103" i="21"/>
  <c r="I96" i="21"/>
  <c r="I89" i="21"/>
  <c r="I79" i="21"/>
  <c r="I64" i="21"/>
  <c r="I61" i="21"/>
  <c r="I30" i="21"/>
  <c r="I14" i="21"/>
  <c r="I115" i="21"/>
  <c r="I123" i="21" s="1"/>
  <c r="I111" i="21"/>
  <c r="I106" i="21"/>
  <c r="I112" i="21" s="1"/>
  <c r="I102" i="21"/>
  <c r="I99" i="21"/>
  <c r="I100" i="21" s="1"/>
  <c r="I77" i="21"/>
  <c r="I66" i="21"/>
  <c r="I49" i="21"/>
  <c r="I42" i="21"/>
  <c r="I39" i="21"/>
  <c r="I37" i="21"/>
  <c r="I35" i="21"/>
  <c r="I33" i="21"/>
  <c r="I12" i="21"/>
  <c r="I17" i="21" s="1"/>
  <c r="C16" i="22"/>
  <c r="D16" i="22" s="1"/>
  <c r="C29" i="22"/>
  <c r="D29" i="22" s="1"/>
  <c r="H45" i="21"/>
  <c r="C27" i="22"/>
  <c r="D27" i="22" s="1"/>
  <c r="I121" i="21"/>
  <c r="I118" i="21"/>
  <c r="I116" i="21"/>
  <c r="I108" i="21"/>
  <c r="I95" i="21"/>
  <c r="I90" i="21"/>
  <c r="I85" i="21"/>
  <c r="I83" i="21"/>
  <c r="I81" i="21"/>
  <c r="I76" i="21"/>
  <c r="I72" i="21"/>
  <c r="I71" i="21"/>
  <c r="I69" i="21"/>
  <c r="I67" i="21"/>
  <c r="I65" i="21"/>
  <c r="I63" i="21"/>
  <c r="I55" i="21"/>
  <c r="H73" i="21"/>
  <c r="I43" i="21"/>
  <c r="I31" i="21"/>
  <c r="I23" i="21"/>
  <c r="I13" i="21"/>
  <c r="C21" i="22"/>
  <c r="C26" i="22"/>
  <c r="D26" i="22" s="1"/>
  <c r="C28" i="22"/>
  <c r="D28" i="22" s="1"/>
  <c r="F23" i="21"/>
  <c r="N42" i="9"/>
  <c r="P10" i="16"/>
  <c r="B45" i="16" s="1"/>
  <c r="F76" i="21"/>
  <c r="D15" i="22" s="1"/>
  <c r="N62" i="9"/>
  <c r="O62" i="9" s="1"/>
  <c r="F115" i="21"/>
  <c r="N107" i="9"/>
  <c r="O107" i="9" s="1"/>
  <c r="F77" i="21"/>
  <c r="N69" i="9"/>
  <c r="O69" i="9" s="1"/>
  <c r="N65" i="9"/>
  <c r="O65" i="9" s="1"/>
  <c r="F26" i="21"/>
  <c r="N45" i="9"/>
  <c r="O45" i="9" s="1"/>
  <c r="N102" i="9"/>
  <c r="O102" i="9" s="1"/>
  <c r="F26" i="20"/>
  <c r="K14" i="22"/>
  <c r="H46" i="22"/>
  <c r="H48" i="22" s="1"/>
  <c r="F33" i="21"/>
  <c r="D33" i="21" s="1"/>
  <c r="G33" i="21" s="1"/>
  <c r="N54" i="9"/>
  <c r="O54" i="9" s="1"/>
  <c r="F32" i="21"/>
  <c r="N61" i="9"/>
  <c r="O61" i="9" s="1"/>
  <c r="F28" i="21"/>
  <c r="N47" i="9"/>
  <c r="O47" i="9" s="1"/>
  <c r="F31" i="21"/>
  <c r="D31" i="21" s="1"/>
  <c r="G31" i="21" s="1"/>
  <c r="F29" i="21"/>
  <c r="D29" i="21" s="1"/>
  <c r="G29" i="21" s="1"/>
  <c r="N49" i="9"/>
  <c r="O49" i="9" s="1"/>
  <c r="F34" i="21"/>
  <c r="N55" i="9"/>
  <c r="O55" i="9" s="1"/>
  <c r="F30" i="21"/>
  <c r="D30" i="21" s="1"/>
  <c r="G30" i="21" s="1"/>
  <c r="N50" i="9"/>
  <c r="O50" i="9" s="1"/>
  <c r="F27" i="21"/>
  <c r="N46" i="9"/>
  <c r="O46" i="9" s="1"/>
  <c r="G13" i="21"/>
  <c r="G21" i="21"/>
  <c r="M58" i="9"/>
  <c r="M65" i="9"/>
  <c r="M86" i="9"/>
  <c r="M110" i="9"/>
  <c r="M31" i="9"/>
  <c r="M54" i="9"/>
  <c r="M74" i="9"/>
  <c r="M95" i="9"/>
  <c r="M50" i="9"/>
  <c r="M70" i="9"/>
  <c r="M101" i="9"/>
  <c r="M62" i="9"/>
  <c r="M46" i="9"/>
  <c r="M81" i="9"/>
  <c r="M114" i="9"/>
  <c r="M18" i="9"/>
  <c r="M23" i="9"/>
  <c r="M12" i="9" s="1"/>
  <c r="M30" i="9"/>
  <c r="M61" i="9"/>
  <c r="M57" i="9"/>
  <c r="M53" i="9"/>
  <c r="M49" i="9"/>
  <c r="M45" i="9"/>
  <c r="M77" i="9"/>
  <c r="M73" i="9"/>
  <c r="M69" i="9"/>
  <c r="M85" i="9"/>
  <c r="M94" i="9"/>
  <c r="M100" i="9"/>
  <c r="M113" i="9"/>
  <c r="M109" i="9"/>
  <c r="M17" i="9"/>
  <c r="M29" i="9"/>
  <c r="M35" i="9"/>
  <c r="M40" i="9"/>
  <c r="M60" i="9"/>
  <c r="M56" i="9"/>
  <c r="M52" i="9"/>
  <c r="M48" i="9"/>
  <c r="M72" i="9"/>
  <c r="M88" i="9"/>
  <c r="M91" i="9"/>
  <c r="M92" i="9" s="1"/>
  <c r="M103" i="9"/>
  <c r="M99" i="9"/>
  <c r="M112" i="9"/>
  <c r="M108" i="9"/>
  <c r="M16" i="9"/>
  <c r="M28" i="9"/>
  <c r="M59" i="9"/>
  <c r="M55" i="9"/>
  <c r="M47" i="9"/>
  <c r="M66" i="9"/>
  <c r="M75" i="9"/>
  <c r="M71" i="9"/>
  <c r="M82" i="9"/>
  <c r="M87" i="9"/>
  <c r="M102" i="9"/>
  <c r="M98" i="9"/>
  <c r="M111" i="9"/>
  <c r="P20" i="22"/>
  <c r="J20" i="22"/>
  <c r="D34" i="22"/>
  <c r="D84" i="21"/>
  <c r="G84" i="21" s="1"/>
  <c r="D28" i="21"/>
  <c r="G28" i="21" s="1"/>
  <c r="D119" i="21"/>
  <c r="G119" i="21" s="1"/>
  <c r="D15" i="21"/>
  <c r="G15" i="21" s="1"/>
  <c r="D83" i="21"/>
  <c r="G83" i="21" s="1"/>
  <c r="D79" i="21"/>
  <c r="G79" i="21" s="1"/>
  <c r="D43" i="21"/>
  <c r="G43" i="21" s="1"/>
  <c r="D39" i="21"/>
  <c r="G39" i="21" s="1"/>
  <c r="D35" i="21"/>
  <c r="G35" i="21" s="1"/>
  <c r="D111" i="21"/>
  <c r="G111" i="21" s="1"/>
  <c r="D85" i="21"/>
  <c r="G85" i="21" s="1"/>
  <c r="D80" i="21"/>
  <c r="G80" i="21" s="1"/>
  <c r="D36" i="21"/>
  <c r="G36" i="21" s="1"/>
  <c r="D116" i="21"/>
  <c r="G116" i="21" s="1"/>
  <c r="D23" i="21"/>
  <c r="G23" i="21" s="1"/>
  <c r="D77" i="21"/>
  <c r="G77" i="21" s="1"/>
  <c r="D76" i="21"/>
  <c r="G76" i="21" s="1"/>
  <c r="D42" i="21"/>
  <c r="G42" i="21" s="1"/>
  <c r="D38" i="21"/>
  <c r="G38" i="21" s="1"/>
  <c r="D34" i="21"/>
  <c r="G34" i="21" s="1"/>
  <c r="D95" i="21"/>
  <c r="G95" i="21" s="1"/>
  <c r="D117" i="21"/>
  <c r="G117" i="21" s="1"/>
  <c r="D44" i="21"/>
  <c r="G44" i="21" s="1"/>
  <c r="D40" i="21"/>
  <c r="G40" i="21" s="1"/>
  <c r="D32" i="21"/>
  <c r="G32" i="21" s="1"/>
  <c r="D81" i="21"/>
  <c r="G81" i="21" s="1"/>
  <c r="D41" i="21"/>
  <c r="G41" i="21" s="1"/>
  <c r="D37" i="21"/>
  <c r="G37" i="21" s="1"/>
  <c r="D94" i="21"/>
  <c r="G94" i="21" s="1"/>
  <c r="D118" i="21"/>
  <c r="G118" i="21" s="1"/>
  <c r="D102" i="21"/>
  <c r="G102" i="21" s="1"/>
  <c r="D78" i="21"/>
  <c r="G78" i="21" s="1"/>
  <c r="J34" i="22"/>
  <c r="K9" i="22"/>
  <c r="K13" i="22"/>
  <c r="P4" i="22"/>
  <c r="K6" i="22"/>
  <c r="K8" i="22"/>
  <c r="K12" i="22"/>
  <c r="J16" i="22"/>
  <c r="J6" i="22" s="1"/>
  <c r="P17" i="22"/>
  <c r="P6" i="22" s="1"/>
  <c r="C34" i="22"/>
  <c r="K7" i="22"/>
  <c r="K11" i="22"/>
  <c r="K15" i="22"/>
  <c r="K10" i="22"/>
  <c r="G99" i="16"/>
  <c r="G83" i="16"/>
  <c r="H83" i="16" s="1"/>
  <c r="D89" i="21"/>
  <c r="G89" i="21" s="1"/>
  <c r="G8" i="16"/>
  <c r="H8" i="16" s="1"/>
  <c r="D103" i="21"/>
  <c r="F104" i="21"/>
  <c r="P80" i="16"/>
  <c r="C82" i="16" s="1"/>
  <c r="B82" i="16"/>
  <c r="P30" i="16"/>
  <c r="B49" i="16" s="1"/>
  <c r="A49" i="16"/>
  <c r="G9" i="16"/>
  <c r="H9" i="16" s="1"/>
  <c r="D93" i="21"/>
  <c r="F97" i="21"/>
  <c r="F120" i="21"/>
  <c r="D120" i="21" s="1"/>
  <c r="G120" i="21" s="1"/>
  <c r="D26" i="21"/>
  <c r="F99" i="16"/>
  <c r="D75" i="21"/>
  <c r="D99" i="21"/>
  <c r="F100" i="21"/>
  <c r="D115" i="21"/>
  <c r="G115" i="21" s="1"/>
  <c r="I47" i="21"/>
  <c r="I27" i="21"/>
  <c r="F29" i="18"/>
  <c r="F90" i="21"/>
  <c r="D90" i="21" s="1"/>
  <c r="G90" i="21" s="1"/>
  <c r="H86" i="21"/>
  <c r="I62" i="21"/>
  <c r="I60" i="21"/>
  <c r="I58" i="21"/>
  <c r="I56" i="21"/>
  <c r="I54" i="21"/>
  <c r="I52" i="21"/>
  <c r="I50" i="21"/>
  <c r="I48" i="21"/>
  <c r="I41" i="21"/>
  <c r="I38" i="21"/>
  <c r="I36" i="21"/>
  <c r="I29" i="21"/>
  <c r="I26" i="21"/>
  <c r="I45" i="21" s="1"/>
  <c r="I21" i="21"/>
  <c r="I44" i="21"/>
  <c r="I40" i="21"/>
  <c r="H17" i="21"/>
  <c r="N46" i="22" l="1"/>
  <c r="N48" i="22" s="1"/>
  <c r="M464" i="12"/>
  <c r="F110" i="21"/>
  <c r="D110" i="21" s="1"/>
  <c r="G110" i="21" s="1"/>
  <c r="F45" i="16"/>
  <c r="G45" i="16" s="1"/>
  <c r="L14" i="16"/>
  <c r="L15" i="16" s="1"/>
  <c r="Q14" i="16"/>
  <c r="D7" i="16" s="1"/>
  <c r="P14" i="16"/>
  <c r="C7" i="16" s="1"/>
  <c r="N15" i="16"/>
  <c r="Q15" i="16" s="1"/>
  <c r="C46" i="16" s="1"/>
  <c r="F46" i="16" s="1"/>
  <c r="G46" i="16" s="1"/>
  <c r="F49" i="16"/>
  <c r="G49" i="16" s="1"/>
  <c r="F121" i="21"/>
  <c r="D121" i="21" s="1"/>
  <c r="G121" i="21" s="1"/>
  <c r="G123" i="21" s="1"/>
  <c r="F112" i="21"/>
  <c r="M67" i="9"/>
  <c r="I91" i="21"/>
  <c r="I97" i="21"/>
  <c r="I73" i="21"/>
  <c r="I104" i="21"/>
  <c r="H113" i="21"/>
  <c r="H124" i="21" s="1"/>
  <c r="H132" i="21" s="1"/>
  <c r="C20" i="22"/>
  <c r="D20" i="22" s="1"/>
  <c r="D21" i="22"/>
  <c r="O42" i="9"/>
  <c r="N31" i="9"/>
  <c r="O31" i="9" s="1"/>
  <c r="F73" i="21"/>
  <c r="N104" i="9"/>
  <c r="C11" i="22" s="1"/>
  <c r="D11" i="22" s="1"/>
  <c r="O104" i="9"/>
  <c r="N115" i="9"/>
  <c r="O115" i="9"/>
  <c r="N78" i="9"/>
  <c r="C13" i="22" s="1"/>
  <c r="D13" i="22" s="1"/>
  <c r="N67" i="9"/>
  <c r="C10" i="22" s="1"/>
  <c r="D10" i="22" s="1"/>
  <c r="O67" i="9"/>
  <c r="N63" i="9"/>
  <c r="C12" i="22" s="1"/>
  <c r="D12" i="22" s="1"/>
  <c r="O40" i="9"/>
  <c r="O63" i="9"/>
  <c r="F86" i="21"/>
  <c r="B30" i="22"/>
  <c r="D30" i="22" s="1"/>
  <c r="E15" i="22"/>
  <c r="E6" i="22"/>
  <c r="D27" i="21"/>
  <c r="G27" i="21" s="1"/>
  <c r="F45" i="21"/>
  <c r="G82" i="16"/>
  <c r="G87" i="16" s="1"/>
  <c r="M83" i="9"/>
  <c r="M96" i="9"/>
  <c r="M104" i="9"/>
  <c r="M37" i="9"/>
  <c r="M115" i="9"/>
  <c r="M43" i="9"/>
  <c r="G86" i="21"/>
  <c r="D112" i="21"/>
  <c r="G106" i="21"/>
  <c r="D45" i="21"/>
  <c r="G26" i="21"/>
  <c r="D104" i="21"/>
  <c r="G103" i="21"/>
  <c r="G104" i="21" s="1"/>
  <c r="D97" i="21"/>
  <c r="G93" i="21"/>
  <c r="G97" i="21" s="1"/>
  <c r="D100" i="21"/>
  <c r="G99" i="21"/>
  <c r="G100" i="21" s="1"/>
  <c r="G91" i="21"/>
  <c r="M19" i="9"/>
  <c r="M32" i="9"/>
  <c r="G112" i="21"/>
  <c r="D86" i="21"/>
  <c r="D73" i="21"/>
  <c r="G47" i="21"/>
  <c r="G73" i="21" s="1"/>
  <c r="M78" i="9"/>
  <c r="M89" i="9"/>
  <c r="M63" i="9"/>
  <c r="Q12" i="22"/>
  <c r="Q8" i="22"/>
  <c r="Q13" i="22"/>
  <c r="Q9" i="22"/>
  <c r="Q14" i="22"/>
  <c r="Q10" i="22"/>
  <c r="Q6" i="22"/>
  <c r="Q15" i="22"/>
  <c r="Q11" i="22"/>
  <c r="Q7" i="22"/>
  <c r="F91" i="21"/>
  <c r="D91" i="21"/>
  <c r="F123" i="21" l="1"/>
  <c r="G7" i="16"/>
  <c r="H7" i="16" s="1"/>
  <c r="F50" i="16"/>
  <c r="N39" i="9" s="1"/>
  <c r="O39" i="9" s="1"/>
  <c r="G50" i="16"/>
  <c r="N41" i="9" s="1"/>
  <c r="I113" i="21"/>
  <c r="I124" i="21" s="1"/>
  <c r="I132" i="21" s="1"/>
  <c r="H82" i="16"/>
  <c r="H87" i="16" s="1"/>
  <c r="C8" i="22"/>
  <c r="D8" i="22" s="1"/>
  <c r="C14" i="22"/>
  <c r="D14" i="22" s="1"/>
  <c r="O29" i="9"/>
  <c r="B47" i="22"/>
  <c r="B48" i="22" s="1"/>
  <c r="G45" i="21"/>
  <c r="M105" i="9"/>
  <c r="D123" i="21"/>
  <c r="F20" i="21" l="1"/>
  <c r="F22" i="21"/>
  <c r="N30" i="9"/>
  <c r="O30" i="9" s="1"/>
  <c r="H11" i="16"/>
  <c r="N17" i="9" s="1"/>
  <c r="O17" i="9" s="1"/>
  <c r="G11" i="16"/>
  <c r="O41" i="9"/>
  <c r="O43" i="9" s="1"/>
  <c r="D20" i="21"/>
  <c r="G20" i="21" s="1"/>
  <c r="N28" i="9"/>
  <c r="O28" i="9" s="1"/>
  <c r="N43" i="9"/>
  <c r="N11" i="9" l="1"/>
  <c r="C9" i="22" s="1"/>
  <c r="D9" i="22" s="1"/>
  <c r="F14" i="21"/>
  <c r="D14" i="21" s="1"/>
  <c r="G14" i="21" s="1"/>
  <c r="F24" i="21"/>
  <c r="F113" i="21" s="1"/>
  <c r="D113" i="21" s="1"/>
  <c r="D22" i="21"/>
  <c r="G22" i="21" s="1"/>
  <c r="G24" i="21" s="1"/>
  <c r="G113" i="21" s="1"/>
  <c r="N16" i="9"/>
  <c r="F12" i="21"/>
  <c r="N32" i="9"/>
  <c r="N105" i="9" s="1"/>
  <c r="O32" i="9"/>
  <c r="D12" i="21" l="1"/>
  <c r="G12" i="21" s="1"/>
  <c r="G17" i="21" s="1"/>
  <c r="G124" i="21" s="1"/>
  <c r="G132" i="21" s="1"/>
  <c r="D24" i="21"/>
  <c r="F17" i="21"/>
  <c r="D17" i="21" s="1"/>
  <c r="O16" i="9"/>
  <c r="O19" i="9" s="1"/>
  <c r="N10" i="9"/>
  <c r="C7" i="22" s="1"/>
  <c r="N19" i="9"/>
  <c r="B52" i="4"/>
  <c r="B51" i="4"/>
  <c r="F124" i="21" l="1"/>
  <c r="D124" i="21" s="1"/>
  <c r="N14" i="9"/>
  <c r="N116" i="9" s="1"/>
  <c r="A4" i="13"/>
  <c r="O9" i="15"/>
  <c r="O8" i="15"/>
  <c r="O9" i="14"/>
  <c r="F132" i="21" l="1"/>
  <c r="D7" i="22"/>
  <c r="D6" i="22" s="1"/>
  <c r="C6" i="22"/>
  <c r="I21" i="7"/>
  <c r="F102" i="9"/>
  <c r="F17" i="8"/>
  <c r="H17" i="8" s="1"/>
  <c r="F75" i="9"/>
  <c r="C14" i="15"/>
  <c r="C14" i="14"/>
  <c r="N11" i="4"/>
  <c r="P11" i="4" s="1"/>
  <c r="B68" i="4" s="1"/>
  <c r="L10" i="4"/>
  <c r="L11" i="4" s="1"/>
  <c r="P10" i="4"/>
  <c r="Q10" i="4"/>
  <c r="M11" i="4"/>
  <c r="O11" i="4"/>
  <c r="N24" i="4"/>
  <c r="L23" i="4"/>
  <c r="L24" i="4" s="1"/>
  <c r="Q23" i="4"/>
  <c r="R23" i="4"/>
  <c r="M24" i="4"/>
  <c r="O24" i="4"/>
  <c r="Q31" i="4"/>
  <c r="S34" i="4"/>
  <c r="S35" i="4" s="1"/>
  <c r="C35" i="4"/>
  <c r="D10" i="8"/>
  <c r="D9" i="8"/>
  <c r="D8" i="8"/>
  <c r="D6" i="8"/>
  <c r="F26" i="7"/>
  <c r="H26" i="7" s="1"/>
  <c r="H20" i="7"/>
  <c r="H14" i="7"/>
  <c r="F12" i="7"/>
  <c r="H12" i="7" s="1"/>
  <c r="H11" i="7"/>
  <c r="F9" i="7"/>
  <c r="H9" i="7" s="1"/>
  <c r="F7" i="7"/>
  <c r="H7" i="7" s="1"/>
  <c r="F6" i="7"/>
  <c r="H6" i="7" s="1"/>
  <c r="H27" i="7" l="1"/>
  <c r="I18" i="7"/>
  <c r="F101" i="9"/>
  <c r="Q11" i="4"/>
  <c r="I9" i="7"/>
  <c r="F99" i="9"/>
  <c r="I6" i="7"/>
  <c r="F98" i="9"/>
  <c r="I12" i="7"/>
  <c r="F100" i="9"/>
  <c r="F69" i="9"/>
  <c r="F16" i="8"/>
  <c r="H16" i="8" s="1"/>
  <c r="R31" i="4"/>
  <c r="Q24" i="4"/>
  <c r="R24" i="4"/>
  <c r="F61" i="9"/>
  <c r="D28" i="10" s="1"/>
  <c r="F71" i="9"/>
  <c r="R32" i="4" l="1"/>
  <c r="Q32" i="4"/>
  <c r="F73" i="9"/>
  <c r="F72" i="9"/>
  <c r="C86" i="4" l="1"/>
  <c r="A89" i="4"/>
  <c r="F89" i="4" s="1"/>
  <c r="N44" i="4"/>
  <c r="G89" i="4" l="1"/>
  <c r="G71" i="4" l="1"/>
  <c r="F20" i="8" l="1"/>
  <c r="H20" i="8" s="1"/>
  <c r="F113" i="9" s="1"/>
  <c r="F19" i="8"/>
  <c r="H19" i="8" s="1"/>
  <c r="F18" i="8"/>
  <c r="H18" i="8" s="1"/>
  <c r="F112" i="9" l="1"/>
  <c r="F40" i="5"/>
  <c r="D31" i="10" l="1"/>
  <c r="E31" i="10" s="1"/>
  <c r="D97" i="4" l="1"/>
  <c r="D96" i="4"/>
  <c r="D80" i="4"/>
  <c r="B80" i="4" s="1"/>
  <c r="D79" i="4"/>
  <c r="B79" i="4" s="1"/>
  <c r="G88" i="4" l="1"/>
  <c r="B97" i="4"/>
  <c r="D52" i="4"/>
  <c r="D16" i="10"/>
  <c r="E16" i="10" s="1"/>
  <c r="B96" i="4"/>
  <c r="D15" i="10"/>
  <c r="E15" i="10" s="1"/>
  <c r="A127" i="12"/>
  <c r="A126" i="12"/>
  <c r="A194" i="12"/>
  <c r="A195" i="12"/>
  <c r="J6" i="14"/>
  <c r="J6" i="15" s="1"/>
  <c r="K6" i="14"/>
  <c r="K6" i="15" s="1"/>
  <c r="L6" i="14"/>
  <c r="L6" i="15" s="1"/>
  <c r="M6" i="14"/>
  <c r="M6" i="15" s="1"/>
  <c r="N6" i="14"/>
  <c r="N6" i="15" s="1"/>
  <c r="O6" i="14"/>
  <c r="O6" i="15" s="1"/>
  <c r="I6" i="14"/>
  <c r="I6" i="15" s="1"/>
  <c r="A59" i="12" l="1"/>
  <c r="A58" i="12"/>
  <c r="C6" i="14"/>
  <c r="C6" i="15" l="1"/>
  <c r="E4" i="15"/>
  <c r="E39" i="15" s="1"/>
  <c r="H8" i="15"/>
  <c r="H9" i="15"/>
  <c r="E4" i="14"/>
  <c r="H8" i="14"/>
  <c r="H9" i="14"/>
  <c r="F26" i="6"/>
  <c r="E39" i="14" l="1"/>
  <c r="F27" i="15"/>
  <c r="F26" i="15"/>
  <c r="F25" i="15"/>
  <c r="F24" i="15"/>
  <c r="F23" i="15"/>
  <c r="F22" i="15"/>
  <c r="F21" i="15"/>
  <c r="F20" i="15"/>
  <c r="F19" i="15"/>
  <c r="F18" i="15"/>
  <c r="F17" i="15"/>
  <c r="N17" i="15" s="1"/>
  <c r="F10" i="15"/>
  <c r="F27" i="14"/>
  <c r="F26" i="14"/>
  <c r="F25" i="14"/>
  <c r="F24" i="14"/>
  <c r="F23" i="14"/>
  <c r="F22" i="14"/>
  <c r="F21" i="14"/>
  <c r="F20" i="14"/>
  <c r="F19" i="14"/>
  <c r="F18" i="14"/>
  <c r="F17" i="14"/>
  <c r="N17" i="14" s="1"/>
  <c r="F10" i="14"/>
  <c r="A10" i="13"/>
  <c r="A11" i="13" s="1"/>
  <c r="A12" i="13" s="1"/>
  <c r="A13" i="13" s="1"/>
  <c r="H9" i="13"/>
  <c r="H18" i="13" s="1"/>
  <c r="M21" i="15" l="1"/>
  <c r="N21" i="15"/>
  <c r="M25" i="15"/>
  <c r="N25" i="15"/>
  <c r="M18" i="15"/>
  <c r="N18" i="15"/>
  <c r="M22" i="15"/>
  <c r="N22" i="15"/>
  <c r="M26" i="15"/>
  <c r="N26" i="15"/>
  <c r="M19" i="15"/>
  <c r="N19" i="15"/>
  <c r="M23" i="15"/>
  <c r="N23" i="15"/>
  <c r="M27" i="15"/>
  <c r="N27" i="15"/>
  <c r="M20" i="15"/>
  <c r="N20" i="15"/>
  <c r="M24" i="15"/>
  <c r="N24" i="15"/>
  <c r="M21" i="14"/>
  <c r="N21" i="14"/>
  <c r="M25" i="14"/>
  <c r="N25" i="14"/>
  <c r="M18" i="14"/>
  <c r="N18" i="14"/>
  <c r="M22" i="14"/>
  <c r="N22" i="14"/>
  <c r="M26" i="14"/>
  <c r="N26" i="14"/>
  <c r="M19" i="14"/>
  <c r="N19" i="14"/>
  <c r="M23" i="14"/>
  <c r="N23" i="14"/>
  <c r="M27" i="14"/>
  <c r="N27" i="14"/>
  <c r="M20" i="14"/>
  <c r="N20" i="14"/>
  <c r="M24" i="14"/>
  <c r="N24" i="14"/>
  <c r="K17" i="15"/>
  <c r="M17" i="15"/>
  <c r="K17" i="14"/>
  <c r="M17" i="14"/>
  <c r="L25" i="15"/>
  <c r="J25" i="15"/>
  <c r="I25" i="15"/>
  <c r="K25" i="15" s="1"/>
  <c r="O25" i="15"/>
  <c r="I17" i="15"/>
  <c r="L17" i="15"/>
  <c r="J17" i="15"/>
  <c r="O17" i="15"/>
  <c r="I19" i="15"/>
  <c r="K19" i="15" s="1"/>
  <c r="L19" i="15"/>
  <c r="J19" i="15"/>
  <c r="O19" i="15"/>
  <c r="I21" i="15"/>
  <c r="K21" i="15" s="1"/>
  <c r="L21" i="15"/>
  <c r="J21" i="15"/>
  <c r="O21" i="15"/>
  <c r="L23" i="15"/>
  <c r="J23" i="15"/>
  <c r="I23" i="15"/>
  <c r="K23" i="15" s="1"/>
  <c r="O23" i="15"/>
  <c r="L27" i="15"/>
  <c r="J27" i="15"/>
  <c r="I27" i="15"/>
  <c r="K27" i="15" s="1"/>
  <c r="O27" i="15"/>
  <c r="O10" i="15"/>
  <c r="O14" i="15" s="1"/>
  <c r="M10" i="15"/>
  <c r="M14" i="15" s="1"/>
  <c r="K10" i="15"/>
  <c r="K14" i="15" s="1"/>
  <c r="I10" i="15"/>
  <c r="I14" i="15" s="1"/>
  <c r="N10" i="15"/>
  <c r="N14" i="15" s="1"/>
  <c r="L10" i="15"/>
  <c r="L14" i="15" s="1"/>
  <c r="J10" i="15"/>
  <c r="J14" i="15" s="1"/>
  <c r="I18" i="15"/>
  <c r="K18" i="15" s="1"/>
  <c r="L18" i="15"/>
  <c r="J18" i="15"/>
  <c r="O18" i="15"/>
  <c r="I20" i="15"/>
  <c r="K20" i="15" s="1"/>
  <c r="L20" i="15"/>
  <c r="J20" i="15"/>
  <c r="O20" i="15"/>
  <c r="I22" i="15"/>
  <c r="K22" i="15" s="1"/>
  <c r="L22" i="15"/>
  <c r="J22" i="15"/>
  <c r="O22" i="15"/>
  <c r="L24" i="15"/>
  <c r="J24" i="15"/>
  <c r="I24" i="15"/>
  <c r="O24" i="15"/>
  <c r="L26" i="15"/>
  <c r="J26" i="15"/>
  <c r="I26" i="15"/>
  <c r="O26" i="15"/>
  <c r="O10" i="14"/>
  <c r="O14" i="14" s="1"/>
  <c r="M10" i="14"/>
  <c r="M14" i="14" s="1"/>
  <c r="K10" i="14"/>
  <c r="K14" i="14" s="1"/>
  <c r="I10" i="14"/>
  <c r="I14" i="14" s="1"/>
  <c r="N10" i="14"/>
  <c r="N14" i="14" s="1"/>
  <c r="L10" i="14"/>
  <c r="L14" i="14" s="1"/>
  <c r="J10" i="14"/>
  <c r="J14" i="14" s="1"/>
  <c r="I20" i="14"/>
  <c r="K20" i="14" s="1"/>
  <c r="L20" i="14"/>
  <c r="J20" i="14"/>
  <c r="O20" i="14"/>
  <c r="I22" i="14"/>
  <c r="K22" i="14" s="1"/>
  <c r="L22" i="14"/>
  <c r="J22" i="14"/>
  <c r="O22" i="14"/>
  <c r="L24" i="14"/>
  <c r="J24" i="14"/>
  <c r="I24" i="14"/>
  <c r="K24" i="14" s="1"/>
  <c r="O24" i="14"/>
  <c r="I17" i="14"/>
  <c r="L17" i="14"/>
  <c r="J17" i="14"/>
  <c r="O17" i="14"/>
  <c r="I19" i="14"/>
  <c r="K19" i="14" s="1"/>
  <c r="L19" i="14"/>
  <c r="J19" i="14"/>
  <c r="O19" i="14"/>
  <c r="I21" i="14"/>
  <c r="K21" i="14" s="1"/>
  <c r="L21" i="14"/>
  <c r="J21" i="14"/>
  <c r="O21" i="14"/>
  <c r="L23" i="14"/>
  <c r="J23" i="14"/>
  <c r="I23" i="14"/>
  <c r="K23" i="14" s="1"/>
  <c r="O23" i="14"/>
  <c r="L25" i="14"/>
  <c r="J25" i="14"/>
  <c r="I25" i="14"/>
  <c r="K25" i="14" s="1"/>
  <c r="O25" i="14"/>
  <c r="L27" i="14"/>
  <c r="J27" i="14"/>
  <c r="I27" i="14"/>
  <c r="K27" i="14" s="1"/>
  <c r="O27" i="14"/>
  <c r="I18" i="14"/>
  <c r="K18" i="14" s="1"/>
  <c r="L18" i="14"/>
  <c r="J18" i="14"/>
  <c r="O18" i="14"/>
  <c r="L26" i="14"/>
  <c r="J26" i="14"/>
  <c r="I26" i="14"/>
  <c r="K26" i="14" s="1"/>
  <c r="O26" i="14"/>
  <c r="B2" i="9"/>
  <c r="K26" i="15" l="1"/>
  <c r="H26" i="15" s="1"/>
  <c r="G26" i="15" s="1"/>
  <c r="K24" i="15"/>
  <c r="H24" i="15" s="1"/>
  <c r="G24" i="15" s="1"/>
  <c r="H20" i="15"/>
  <c r="G20" i="15" s="1"/>
  <c r="H26" i="14"/>
  <c r="G26" i="14" s="1"/>
  <c r="H27" i="14"/>
  <c r="G27" i="14" s="1"/>
  <c r="H25" i="14"/>
  <c r="G25" i="14" s="1"/>
  <c r="H23" i="14"/>
  <c r="G23" i="14" s="1"/>
  <c r="H24" i="14"/>
  <c r="G24" i="14" s="1"/>
  <c r="H21" i="14"/>
  <c r="G21" i="14" s="1"/>
  <c r="H22" i="15"/>
  <c r="G22" i="15" s="1"/>
  <c r="H27" i="15"/>
  <c r="G27" i="15" s="1"/>
  <c r="H23" i="15"/>
  <c r="G23" i="15" s="1"/>
  <c r="H21" i="15"/>
  <c r="G21" i="15" s="1"/>
  <c r="H19" i="15"/>
  <c r="G19" i="15" s="1"/>
  <c r="H17" i="15"/>
  <c r="G17" i="15" s="1"/>
  <c r="H25" i="15"/>
  <c r="G25" i="15" s="1"/>
  <c r="H14" i="15"/>
  <c r="G14" i="15" s="1"/>
  <c r="H18" i="15"/>
  <c r="G18" i="15" s="1"/>
  <c r="H18" i="14"/>
  <c r="G18" i="14" s="1"/>
  <c r="H19" i="14"/>
  <c r="G19" i="14" s="1"/>
  <c r="H17" i="14"/>
  <c r="G17" i="14" s="1"/>
  <c r="H14" i="14"/>
  <c r="G14" i="14" s="1"/>
  <c r="I15" i="14" s="1"/>
  <c r="H22" i="14"/>
  <c r="G22" i="14" s="1"/>
  <c r="H20" i="14"/>
  <c r="G20" i="14" s="1"/>
  <c r="A533" i="12"/>
  <c r="A263" i="12"/>
  <c r="A262" i="12"/>
  <c r="N15" i="15" l="1"/>
  <c r="N16" i="15" s="1"/>
  <c r="N28" i="15" s="1"/>
  <c r="L15" i="15"/>
  <c r="L16" i="15" s="1"/>
  <c r="L28" i="15" s="1"/>
  <c r="J15" i="15"/>
  <c r="J16" i="15" s="1"/>
  <c r="J28" i="15" s="1"/>
  <c r="O15" i="15"/>
  <c r="O16" i="15" s="1"/>
  <c r="O28" i="15" s="1"/>
  <c r="O29" i="15" s="1"/>
  <c r="M15" i="15"/>
  <c r="M16" i="15" s="1"/>
  <c r="M28" i="15" s="1"/>
  <c r="M29" i="15" s="1"/>
  <c r="K15" i="15"/>
  <c r="K16" i="15" s="1"/>
  <c r="K28" i="15" s="1"/>
  <c r="I15" i="15"/>
  <c r="I16" i="15" s="1"/>
  <c r="N15" i="14"/>
  <c r="N16" i="14" s="1"/>
  <c r="N28" i="14" s="1"/>
  <c r="L15" i="14"/>
  <c r="L16" i="14" s="1"/>
  <c r="L28" i="14" s="1"/>
  <c r="J15" i="14"/>
  <c r="J16" i="14" s="1"/>
  <c r="J28" i="14" s="1"/>
  <c r="O15" i="14"/>
  <c r="O16" i="14" s="1"/>
  <c r="O28" i="14" s="1"/>
  <c r="O29" i="14" s="1"/>
  <c r="M15" i="14"/>
  <c r="M16" i="14" s="1"/>
  <c r="M28" i="14" s="1"/>
  <c r="M29" i="14" s="1"/>
  <c r="K15" i="14"/>
  <c r="K16" i="14" s="1"/>
  <c r="K28" i="14" s="1"/>
  <c r="I16" i="14"/>
  <c r="K29" i="15" l="1"/>
  <c r="K29" i="14"/>
  <c r="I28" i="15"/>
  <c r="I29" i="15" s="1"/>
  <c r="H16" i="15"/>
  <c r="G16" i="15" s="1"/>
  <c r="I28" i="14"/>
  <c r="I29" i="14" s="1"/>
  <c r="H16" i="14"/>
  <c r="F34" i="7"/>
  <c r="I32" i="15" l="1"/>
  <c r="I32" i="14"/>
  <c r="H28" i="15"/>
  <c r="G28" i="15"/>
  <c r="H28" i="14"/>
  <c r="G16" i="14"/>
  <c r="G28" i="14" s="1"/>
  <c r="D11" i="8"/>
  <c r="F111" i="9" l="1"/>
  <c r="F110" i="9"/>
  <c r="M55" i="4"/>
  <c r="A109" i="9" l="1"/>
  <c r="A108" i="9"/>
  <c r="A107" i="9"/>
  <c r="F109" i="9" l="1"/>
  <c r="F48" i="9"/>
  <c r="F50" i="9"/>
  <c r="F57" i="9"/>
  <c r="F62" i="9"/>
  <c r="F60" i="9"/>
  <c r="F54" i="9"/>
  <c r="F27" i="5"/>
  <c r="F51" i="9"/>
  <c r="F46" i="9"/>
  <c r="G114" i="9"/>
  <c r="F108" i="9"/>
  <c r="F107" i="9"/>
  <c r="G35" i="9"/>
  <c r="D24" i="10"/>
  <c r="E24" i="10" s="1"/>
  <c r="F18" i="9"/>
  <c r="E25" i="9"/>
  <c r="D29" i="9"/>
  <c r="H29" i="9" s="1"/>
  <c r="F29" i="9"/>
  <c r="A53" i="9"/>
  <c r="F82" i="9"/>
  <c r="F6" i="6"/>
  <c r="F81" i="9" s="1"/>
  <c r="F8" i="6"/>
  <c r="F9" i="6"/>
  <c r="F11" i="6"/>
  <c r="F12" i="6"/>
  <c r="F27" i="6"/>
  <c r="F86" i="9" s="1"/>
  <c r="F28" i="6"/>
  <c r="F87" i="9" s="1"/>
  <c r="F36" i="6"/>
  <c r="F91" i="9" s="1"/>
  <c r="F37" i="6"/>
  <c r="F43" i="6"/>
  <c r="F94" i="9" s="1"/>
  <c r="F44" i="6"/>
  <c r="F95" i="9" s="1"/>
  <c r="F45" i="6"/>
  <c r="F41" i="5"/>
  <c r="F66" i="9" s="1"/>
  <c r="F76" i="9"/>
  <c r="F78" i="9" s="1"/>
  <c r="F70" i="5"/>
  <c r="A6" i="4"/>
  <c r="A7" i="4"/>
  <c r="F8" i="4"/>
  <c r="G8" i="4" s="1"/>
  <c r="B6" i="4"/>
  <c r="C6" i="4"/>
  <c r="A68" i="4"/>
  <c r="B7" i="4"/>
  <c r="C7" i="4"/>
  <c r="E21" i="4"/>
  <c r="D22" i="4"/>
  <c r="D23" i="4"/>
  <c r="E23" i="4" s="1"/>
  <c r="B33" i="4"/>
  <c r="D24" i="4"/>
  <c r="E24" i="4" s="1"/>
  <c r="A84" i="4"/>
  <c r="A85" i="4"/>
  <c r="A33" i="4"/>
  <c r="A34" i="4"/>
  <c r="A35" i="4"/>
  <c r="F37" i="4"/>
  <c r="G37" i="4" s="1"/>
  <c r="A87" i="4"/>
  <c r="N47" i="4"/>
  <c r="L45" i="4"/>
  <c r="L47" i="4" s="1"/>
  <c r="M47" i="4"/>
  <c r="A88" i="4" s="1"/>
  <c r="O47" i="4"/>
  <c r="P47" i="4"/>
  <c r="D47" i="4"/>
  <c r="D14" i="10" s="1"/>
  <c r="D75" i="4"/>
  <c r="F42" i="9" s="1"/>
  <c r="F31" i="9" s="1"/>
  <c r="D21" i="10" s="1"/>
  <c r="E21" i="10" s="1"/>
  <c r="C88" i="4"/>
  <c r="C34" i="4"/>
  <c r="E26" i="10"/>
  <c r="F53" i="9" l="1"/>
  <c r="F36" i="4"/>
  <c r="G36" i="4" s="1"/>
  <c r="F35" i="4"/>
  <c r="G35" i="4" s="1"/>
  <c r="F92" i="9"/>
  <c r="D32" i="10"/>
  <c r="E32" i="10" s="1"/>
  <c r="E14" i="10"/>
  <c r="F115" i="9"/>
  <c r="C69" i="4"/>
  <c r="A69" i="4"/>
  <c r="B69" i="4"/>
  <c r="H114" i="9"/>
  <c r="G88" i="9"/>
  <c r="F96" i="9"/>
  <c r="B34" i="4"/>
  <c r="F34" i="4" s="1"/>
  <c r="G34" i="4" s="1"/>
  <c r="B85" i="4"/>
  <c r="B86" i="4" s="1"/>
  <c r="B87" i="4" s="1"/>
  <c r="F87" i="4" s="1"/>
  <c r="G87" i="4" s="1"/>
  <c r="H88" i="9"/>
  <c r="H35" i="9"/>
  <c r="H40" i="9"/>
  <c r="B84" i="4"/>
  <c r="C84" i="4"/>
  <c r="F7" i="4"/>
  <c r="G7" i="4" s="1"/>
  <c r="F29" i="6"/>
  <c r="F10" i="6"/>
  <c r="F67" i="9"/>
  <c r="I35" i="9"/>
  <c r="I88" i="9"/>
  <c r="I29" i="9"/>
  <c r="I40" i="9"/>
  <c r="I114" i="9"/>
  <c r="F83" i="9"/>
  <c r="E22" i="4"/>
  <c r="E25" i="4" s="1"/>
  <c r="D25" i="4"/>
  <c r="F47" i="9"/>
  <c r="F85" i="9"/>
  <c r="C33" i="4"/>
  <c r="C68" i="4"/>
  <c r="F6" i="4"/>
  <c r="G6" i="4" s="1"/>
  <c r="G29" i="9"/>
  <c r="G40" i="9"/>
  <c r="F68" i="4" l="1"/>
  <c r="F72" i="4" s="1"/>
  <c r="G69" i="4"/>
  <c r="F86" i="4"/>
  <c r="G86" i="4" s="1"/>
  <c r="F33" i="4"/>
  <c r="G33" i="4" s="1"/>
  <c r="G38" i="4" s="1"/>
  <c r="E27" i="10"/>
  <c r="F84" i="4"/>
  <c r="G84" i="4" s="1"/>
  <c r="H33" i="4"/>
  <c r="D23" i="10"/>
  <c r="E23" i="10" s="1"/>
  <c r="G9" i="4"/>
  <c r="C85" i="4"/>
  <c r="F85" i="4" s="1"/>
  <c r="G85" i="4" s="1"/>
  <c r="E29" i="10"/>
  <c r="E28" i="10"/>
  <c r="F9" i="4"/>
  <c r="F16" i="9" s="1"/>
  <c r="F63" i="9"/>
  <c r="F104" i="9"/>
  <c r="D25" i="10" s="1"/>
  <c r="F89" i="9"/>
  <c r="D30" i="10" s="1"/>
  <c r="E30" i="10" s="1"/>
  <c r="G68" i="4" l="1"/>
  <c r="G72" i="4" s="1"/>
  <c r="F41" i="9" s="1"/>
  <c r="F38" i="4"/>
  <c r="F21" i="9" s="1"/>
  <c r="F10" i="9" s="1"/>
  <c r="F39" i="9"/>
  <c r="D20" i="10" s="1"/>
  <c r="G90" i="4"/>
  <c r="F36" i="9" s="1"/>
  <c r="H34" i="4"/>
  <c r="I33" i="4" s="1"/>
  <c r="F90" i="4"/>
  <c r="F19" i="9"/>
  <c r="F22" i="9"/>
  <c r="E25" i="10"/>
  <c r="F91" i="4" l="1"/>
  <c r="G91" i="4"/>
  <c r="G92" i="4" s="1"/>
  <c r="D8" i="10"/>
  <c r="E8" i="10" s="1"/>
  <c r="F34" i="9"/>
  <c r="F30" i="9"/>
  <c r="D22" i="10"/>
  <c r="E22" i="10" s="1"/>
  <c r="F43" i="9"/>
  <c r="E20" i="10"/>
  <c r="F37" i="9" l="1"/>
  <c r="F28" i="9"/>
  <c r="F32" i="9" s="1"/>
  <c r="F105" i="9" s="1"/>
  <c r="D7" i="10"/>
  <c r="E7" i="10" s="1"/>
  <c r="F11" i="9"/>
  <c r="D44" i="4" l="1"/>
  <c r="D9" i="10" s="1"/>
  <c r="D45" i="4"/>
  <c r="E9" i="10" l="1"/>
  <c r="D12" i="10"/>
  <c r="E12" i="10" s="1"/>
  <c r="F10" i="10" l="1"/>
  <c r="O9" i="10"/>
  <c r="H9" i="10" s="1"/>
  <c r="C43" i="4" l="1"/>
  <c r="C45" i="4"/>
  <c r="C44" i="4"/>
  <c r="D46" i="9"/>
  <c r="D87" i="9"/>
  <c r="J87" i="9" s="1"/>
  <c r="F29" i="10"/>
  <c r="E39" i="10"/>
  <c r="C46" i="4"/>
  <c r="D21" i="9"/>
  <c r="H8" i="10"/>
  <c r="D91" i="9"/>
  <c r="D39" i="9"/>
  <c r="J39" i="9" s="1"/>
  <c r="D10" i="9"/>
  <c r="F23" i="10"/>
  <c r="F24" i="10"/>
  <c r="F25" i="10"/>
  <c r="J35" i="9"/>
  <c r="D41" i="9"/>
  <c r="I41" i="9" s="1"/>
  <c r="D62" i="9"/>
  <c r="D52" i="9"/>
  <c r="D18" i="9"/>
  <c r="I18" i="9" s="1"/>
  <c r="D75" i="9"/>
  <c r="I75" i="9" s="1"/>
  <c r="D56" i="9"/>
  <c r="I56" i="9" s="1"/>
  <c r="D77" i="9"/>
  <c r="D72" i="9"/>
  <c r="I72" i="9" s="1"/>
  <c r="D99" i="9"/>
  <c r="I99" i="9" s="1"/>
  <c r="D49" i="9"/>
  <c r="I49" i="9" s="1"/>
  <c r="D95" i="9"/>
  <c r="I95" i="9" s="1"/>
  <c r="D50" i="9"/>
  <c r="C47" i="4"/>
  <c r="B47" i="4" s="1"/>
  <c r="J91" i="9"/>
  <c r="J92" i="9" s="1"/>
  <c r="D85" i="9"/>
  <c r="I85" i="9" s="1"/>
  <c r="F27" i="10"/>
  <c r="F21" i="10"/>
  <c r="F20" i="10"/>
  <c r="B44" i="4"/>
  <c r="J88" i="9"/>
  <c r="D108" i="9"/>
  <c r="D60" i="9"/>
  <c r="D71" i="9"/>
  <c r="I71" i="9" s="1"/>
  <c r="D102" i="9"/>
  <c r="D53" i="9"/>
  <c r="I53" i="9" s="1"/>
  <c r="D48" i="9"/>
  <c r="I48" i="9" s="1"/>
  <c r="D107" i="9"/>
  <c r="I107" i="9" s="1"/>
  <c r="D11" i="9"/>
  <c r="D109" i="9"/>
  <c r="D59" i="9"/>
  <c r="I59" i="9" s="1"/>
  <c r="D111" i="9"/>
  <c r="D94" i="9"/>
  <c r="D115" i="9"/>
  <c r="D34" i="9"/>
  <c r="I34" i="9" s="1"/>
  <c r="D69" i="9"/>
  <c r="F22" i="10"/>
  <c r="F28" i="10"/>
  <c r="F30" i="10"/>
  <c r="J40" i="9"/>
  <c r="D82" i="9"/>
  <c r="I82" i="9" s="1"/>
  <c r="D110" i="9"/>
  <c r="D70" i="9"/>
  <c r="D73" i="9"/>
  <c r="D103" i="9"/>
  <c r="D22" i="9"/>
  <c r="D112" i="9"/>
  <c r="D113" i="9"/>
  <c r="D51" i="9"/>
  <c r="D76" i="9"/>
  <c r="D74" i="9"/>
  <c r="D17" i="9"/>
  <c r="I17" i="9" s="1"/>
  <c r="D45" i="9"/>
  <c r="D65" i="9"/>
  <c r="I65" i="9" s="1"/>
  <c r="D36" i="9"/>
  <c r="I36" i="9" s="1"/>
  <c r="J17" i="9"/>
  <c r="D98" i="9"/>
  <c r="D42" i="9"/>
  <c r="D81" i="9"/>
  <c r="I81" i="9" s="1"/>
  <c r="D16" i="9"/>
  <c r="F32" i="10"/>
  <c r="F31" i="10"/>
  <c r="F26" i="10"/>
  <c r="J114" i="9"/>
  <c r="J29" i="9"/>
  <c r="D55" i="9"/>
  <c r="D61" i="9"/>
  <c r="D58" i="9"/>
  <c r="D54" i="9"/>
  <c r="D86" i="9"/>
  <c r="D57" i="9"/>
  <c r="D66" i="9"/>
  <c r="D101" i="9"/>
  <c r="D47" i="9"/>
  <c r="D100" i="9"/>
  <c r="N20" i="10" l="1"/>
  <c r="I20" i="10"/>
  <c r="J32" i="10"/>
  <c r="N32" i="10"/>
  <c r="J26" i="10"/>
  <c r="N26" i="10"/>
  <c r="J30" i="10"/>
  <c r="N30" i="10"/>
  <c r="J25" i="10"/>
  <c r="N25" i="10"/>
  <c r="J31" i="10"/>
  <c r="N31" i="10"/>
  <c r="J28" i="10"/>
  <c r="N28" i="10"/>
  <c r="J24" i="10"/>
  <c r="N24" i="10"/>
  <c r="J22" i="10"/>
  <c r="N22" i="10"/>
  <c r="J21" i="10"/>
  <c r="N21" i="10"/>
  <c r="J23" i="10"/>
  <c r="N23" i="10"/>
  <c r="J29" i="10"/>
  <c r="N29" i="10"/>
  <c r="J27" i="10"/>
  <c r="N27" i="10"/>
  <c r="J95" i="9"/>
  <c r="I29" i="10"/>
  <c r="K29" i="10" s="1"/>
  <c r="H87" i="9"/>
  <c r="G87" i="9"/>
  <c r="I87" i="9"/>
  <c r="J75" i="9"/>
  <c r="J72" i="9"/>
  <c r="O29" i="10"/>
  <c r="L20" i="10"/>
  <c r="J20" i="10"/>
  <c r="J99" i="9"/>
  <c r="J48" i="9"/>
  <c r="J41" i="9"/>
  <c r="M30" i="10"/>
  <c r="L30" i="10"/>
  <c r="M24" i="10"/>
  <c r="L24" i="10"/>
  <c r="M28" i="10"/>
  <c r="L28" i="10"/>
  <c r="M27" i="10"/>
  <c r="L27" i="10"/>
  <c r="M23" i="10"/>
  <c r="L23" i="10"/>
  <c r="M21" i="10"/>
  <c r="L21" i="10"/>
  <c r="M26" i="10"/>
  <c r="L26" i="10"/>
  <c r="M22" i="10"/>
  <c r="L22" i="10"/>
  <c r="M31" i="10"/>
  <c r="L31" i="10"/>
  <c r="M32" i="10"/>
  <c r="L32" i="10"/>
  <c r="J34" i="9"/>
  <c r="M25" i="10"/>
  <c r="L25" i="10"/>
  <c r="M29" i="10"/>
  <c r="L29" i="10"/>
  <c r="J71" i="9"/>
  <c r="J107" i="9"/>
  <c r="J59" i="9"/>
  <c r="J56" i="9"/>
  <c r="J49" i="9"/>
  <c r="J82" i="9"/>
  <c r="J53" i="9"/>
  <c r="J18" i="9"/>
  <c r="B45" i="4"/>
  <c r="B46" i="4"/>
  <c r="H101" i="9"/>
  <c r="I101" i="9"/>
  <c r="H61" i="9"/>
  <c r="I61" i="9"/>
  <c r="I37" i="9"/>
  <c r="H94" i="9"/>
  <c r="I94" i="9"/>
  <c r="I96" i="9" s="1"/>
  <c r="H109" i="9"/>
  <c r="I109" i="9"/>
  <c r="K20" i="10"/>
  <c r="M20" i="10"/>
  <c r="H62" i="9"/>
  <c r="I62" i="9"/>
  <c r="H39" i="9"/>
  <c r="I39" i="9"/>
  <c r="H66" i="9"/>
  <c r="I66" i="9"/>
  <c r="I67" i="9" s="1"/>
  <c r="H55" i="9"/>
  <c r="I55" i="9"/>
  <c r="H103" i="9"/>
  <c r="I103" i="9"/>
  <c r="H102" i="9"/>
  <c r="I102" i="9"/>
  <c r="H50" i="9"/>
  <c r="I50" i="9"/>
  <c r="H91" i="9"/>
  <c r="H92" i="9" s="1"/>
  <c r="I91" i="9"/>
  <c r="I92" i="9" s="1"/>
  <c r="H47" i="9"/>
  <c r="I47" i="9"/>
  <c r="H57" i="9"/>
  <c r="I57" i="9"/>
  <c r="H16" i="9"/>
  <c r="I16" i="9"/>
  <c r="H98" i="9"/>
  <c r="I98" i="9"/>
  <c r="H45" i="9"/>
  <c r="I45" i="9"/>
  <c r="H74" i="9"/>
  <c r="I74" i="9"/>
  <c r="H113" i="9"/>
  <c r="I113" i="9"/>
  <c r="H73" i="9"/>
  <c r="I73" i="9"/>
  <c r="H111" i="9"/>
  <c r="I111" i="9"/>
  <c r="H46" i="9"/>
  <c r="I46" i="9"/>
  <c r="H77" i="9"/>
  <c r="I77" i="9"/>
  <c r="H86" i="9"/>
  <c r="I86" i="9"/>
  <c r="H42" i="9"/>
  <c r="I42" i="9"/>
  <c r="H110" i="9"/>
  <c r="I110" i="9"/>
  <c r="H60" i="9"/>
  <c r="I60" i="9"/>
  <c r="H100" i="9"/>
  <c r="I100" i="9"/>
  <c r="H54" i="9"/>
  <c r="I54" i="9"/>
  <c r="H51" i="9"/>
  <c r="I51" i="9"/>
  <c r="H108" i="9"/>
  <c r="I108" i="9"/>
  <c r="H58" i="9"/>
  <c r="I58" i="9"/>
  <c r="I83" i="9"/>
  <c r="H76" i="9"/>
  <c r="I76" i="9"/>
  <c r="H112" i="9"/>
  <c r="I112" i="9"/>
  <c r="H70" i="9"/>
  <c r="I70" i="9"/>
  <c r="H69" i="9"/>
  <c r="I69" i="9"/>
  <c r="H52" i="9"/>
  <c r="I52" i="9"/>
  <c r="G95" i="9"/>
  <c r="H95" i="9"/>
  <c r="G18" i="9"/>
  <c r="H18" i="9"/>
  <c r="G81" i="9"/>
  <c r="H81" i="9"/>
  <c r="G59" i="9"/>
  <c r="H59" i="9"/>
  <c r="G48" i="9"/>
  <c r="H48" i="9"/>
  <c r="G71" i="9"/>
  <c r="H71" i="9"/>
  <c r="G49" i="9"/>
  <c r="H49" i="9"/>
  <c r="G107" i="9"/>
  <c r="H107" i="9"/>
  <c r="G53" i="9"/>
  <c r="H53" i="9"/>
  <c r="G85" i="9"/>
  <c r="H85" i="9"/>
  <c r="G99" i="9"/>
  <c r="H99" i="9"/>
  <c r="G56" i="9"/>
  <c r="H56" i="9"/>
  <c r="G36" i="9"/>
  <c r="H36" i="9"/>
  <c r="G65" i="9"/>
  <c r="H65" i="9"/>
  <c r="G17" i="9"/>
  <c r="H17" i="9"/>
  <c r="G82" i="9"/>
  <c r="H82" i="9"/>
  <c r="G34" i="9"/>
  <c r="H34" i="9"/>
  <c r="G72" i="9"/>
  <c r="H72" i="9"/>
  <c r="G75" i="9"/>
  <c r="H75" i="9"/>
  <c r="G41" i="9"/>
  <c r="H41" i="9"/>
  <c r="J76" i="9"/>
  <c r="G76" i="9"/>
  <c r="J101" i="9"/>
  <c r="G101" i="9"/>
  <c r="J86" i="9"/>
  <c r="G86" i="9"/>
  <c r="J61" i="9"/>
  <c r="G61" i="9"/>
  <c r="O31" i="10"/>
  <c r="I31" i="10"/>
  <c r="K31" i="10" s="1"/>
  <c r="D31" i="9"/>
  <c r="G42" i="9"/>
  <c r="J110" i="9"/>
  <c r="G110" i="9"/>
  <c r="O30" i="10"/>
  <c r="I30" i="10"/>
  <c r="K30" i="10" s="1"/>
  <c r="D96" i="9"/>
  <c r="G94" i="9"/>
  <c r="J109" i="9"/>
  <c r="G109" i="9"/>
  <c r="J60" i="9"/>
  <c r="G60" i="9"/>
  <c r="O20" i="10"/>
  <c r="J62" i="9"/>
  <c r="G62" i="9"/>
  <c r="O25" i="10"/>
  <c r="I25" i="10"/>
  <c r="K25" i="10" s="1"/>
  <c r="D43" i="9"/>
  <c r="G39" i="9"/>
  <c r="O26" i="10"/>
  <c r="I26" i="10"/>
  <c r="K26" i="10" s="1"/>
  <c r="J70" i="9"/>
  <c r="G70" i="9"/>
  <c r="D78" i="9"/>
  <c r="G69" i="9"/>
  <c r="J100" i="9"/>
  <c r="G100" i="9"/>
  <c r="J55" i="9"/>
  <c r="G55" i="9"/>
  <c r="J51" i="9"/>
  <c r="G51" i="9"/>
  <c r="J103" i="9"/>
  <c r="G103" i="9"/>
  <c r="O28" i="10"/>
  <c r="I28" i="10"/>
  <c r="K28" i="10" s="1"/>
  <c r="J102" i="9"/>
  <c r="G102" i="9"/>
  <c r="J108" i="9"/>
  <c r="G108" i="9"/>
  <c r="O21" i="10"/>
  <c r="I21" i="10"/>
  <c r="K21" i="10" s="1"/>
  <c r="J50" i="9"/>
  <c r="G50" i="9"/>
  <c r="O24" i="10"/>
  <c r="I24" i="10"/>
  <c r="K24" i="10" s="1"/>
  <c r="D92" i="9"/>
  <c r="G91" i="9"/>
  <c r="G92" i="9" s="1"/>
  <c r="J58" i="9"/>
  <c r="G58" i="9"/>
  <c r="J112" i="9"/>
  <c r="G112" i="9"/>
  <c r="J52" i="9"/>
  <c r="G52" i="9"/>
  <c r="J66" i="9"/>
  <c r="G66" i="9"/>
  <c r="J54" i="9"/>
  <c r="G54" i="9"/>
  <c r="O32" i="10"/>
  <c r="I32" i="10"/>
  <c r="K32" i="10" s="1"/>
  <c r="J47" i="9"/>
  <c r="G47" i="9"/>
  <c r="J57" i="9"/>
  <c r="G57" i="9"/>
  <c r="D19" i="9"/>
  <c r="G16" i="9"/>
  <c r="D104" i="9"/>
  <c r="G98" i="9"/>
  <c r="D63" i="9"/>
  <c r="G45" i="9"/>
  <c r="J74" i="9"/>
  <c r="G74" i="9"/>
  <c r="J113" i="9"/>
  <c r="G113" i="9"/>
  <c r="J73" i="9"/>
  <c r="G73" i="9"/>
  <c r="O22" i="10"/>
  <c r="I22" i="10"/>
  <c r="K22" i="10" s="1"/>
  <c r="J111" i="9"/>
  <c r="G111" i="9"/>
  <c r="J46" i="9"/>
  <c r="G46" i="9"/>
  <c r="O27" i="10"/>
  <c r="I27" i="10"/>
  <c r="K27" i="10" s="1"/>
  <c r="J77" i="9"/>
  <c r="G77" i="9"/>
  <c r="O23" i="10"/>
  <c r="I23" i="10"/>
  <c r="K23" i="10" s="1"/>
  <c r="D30" i="9"/>
  <c r="D83" i="9"/>
  <c r="D67" i="9"/>
  <c r="J45" i="9"/>
  <c r="D89" i="9"/>
  <c r="J85" i="9"/>
  <c r="J16" i="9"/>
  <c r="J42" i="9"/>
  <c r="J94" i="9"/>
  <c r="D28" i="9"/>
  <c r="I28" i="9" s="1"/>
  <c r="D37" i="9"/>
  <c r="J81" i="9"/>
  <c r="J65" i="9"/>
  <c r="J98" i="9"/>
  <c r="J69" i="9"/>
  <c r="J36" i="9"/>
  <c r="H89" i="9" l="1"/>
  <c r="J83" i="9"/>
  <c r="J96" i="9"/>
  <c r="I89" i="9"/>
  <c r="J43" i="9"/>
  <c r="H29" i="10"/>
  <c r="G29" i="10" s="1"/>
  <c r="J37" i="9"/>
  <c r="I43" i="9"/>
  <c r="H67" i="9"/>
  <c r="H43" i="9"/>
  <c r="G43" i="9"/>
  <c r="G96" i="9"/>
  <c r="J89" i="9"/>
  <c r="G89" i="9"/>
  <c r="H115" i="9"/>
  <c r="H63" i="9"/>
  <c r="G37" i="9"/>
  <c r="I115" i="9"/>
  <c r="H96" i="9"/>
  <c r="J67" i="9"/>
  <c r="G67" i="9"/>
  <c r="H78" i="9"/>
  <c r="I19" i="9"/>
  <c r="H26" i="10"/>
  <c r="G26" i="10" s="1"/>
  <c r="H30" i="9"/>
  <c r="I30" i="9"/>
  <c r="H27" i="10"/>
  <c r="G27" i="10" s="1"/>
  <c r="H32" i="10"/>
  <c r="G32" i="10" s="1"/>
  <c r="G115" i="9"/>
  <c r="H83" i="9"/>
  <c r="I78" i="9"/>
  <c r="I104" i="9"/>
  <c r="I63" i="9"/>
  <c r="H25" i="10"/>
  <c r="G25" i="10" s="1"/>
  <c r="G19" i="9"/>
  <c r="H31" i="9"/>
  <c r="I31" i="9"/>
  <c r="H104" i="9"/>
  <c r="G28" i="9"/>
  <c r="H28" i="9"/>
  <c r="J115" i="9"/>
  <c r="G83" i="9"/>
  <c r="H37" i="9"/>
  <c r="J78" i="9"/>
  <c r="G78" i="9"/>
  <c r="H19" i="9"/>
  <c r="G104" i="9"/>
  <c r="J104" i="9"/>
  <c r="H24" i="10"/>
  <c r="G24" i="10" s="1"/>
  <c r="H21" i="10"/>
  <c r="G21" i="10" s="1"/>
  <c r="J31" i="9"/>
  <c r="G31" i="9"/>
  <c r="G63" i="9"/>
  <c r="J63" i="9"/>
  <c r="J30" i="9"/>
  <c r="G30" i="9"/>
  <c r="H23" i="10"/>
  <c r="G23" i="10" s="1"/>
  <c r="H22" i="10"/>
  <c r="G22" i="10" s="1"/>
  <c r="H28" i="10"/>
  <c r="G28" i="10" s="1"/>
  <c r="H20" i="10"/>
  <c r="G20" i="10" s="1"/>
  <c r="H30" i="10"/>
  <c r="G30" i="10" s="1"/>
  <c r="H31" i="10"/>
  <c r="G31" i="10" s="1"/>
  <c r="D32" i="9"/>
  <c r="D105" i="9" s="1"/>
  <c r="J28" i="9"/>
  <c r="J19" i="9"/>
  <c r="H32" i="9" l="1"/>
  <c r="H105" i="9" s="1"/>
  <c r="I32" i="9"/>
  <c r="I105" i="9" s="1"/>
  <c r="G32" i="9"/>
  <c r="G105" i="9" s="1"/>
  <c r="J32" i="9"/>
  <c r="J105" i="9" s="1"/>
  <c r="D42" i="4" l="1"/>
  <c r="F23" i="9" s="1"/>
  <c r="F12" i="9" s="1"/>
  <c r="D12" i="9" s="1"/>
  <c r="O10" i="10"/>
  <c r="O17" i="10" s="1"/>
  <c r="D43" i="4"/>
  <c r="B43" i="4" l="1"/>
  <c r="F24" i="9"/>
  <c r="D10" i="10"/>
  <c r="C42" i="4"/>
  <c r="D11" i="10"/>
  <c r="N10" i="10"/>
  <c r="N17" i="10" s="1"/>
  <c r="J10" i="10"/>
  <c r="J17" i="10" s="1"/>
  <c r="D23" i="9"/>
  <c r="J23" i="9" s="1"/>
  <c r="J12" i="9" s="1"/>
  <c r="I10" i="10"/>
  <c r="I17" i="10" s="1"/>
  <c r="L10" i="10"/>
  <c r="L17" i="10" s="1"/>
  <c r="K10" i="10"/>
  <c r="M10" i="10"/>
  <c r="M17" i="10" s="1"/>
  <c r="C17" i="10"/>
  <c r="I7" i="10" s="1"/>
  <c r="I36" i="10" l="1"/>
  <c r="C6" i="10"/>
  <c r="C9" i="13" s="1"/>
  <c r="N7" i="10"/>
  <c r="J7" i="10"/>
  <c r="M7" i="10"/>
  <c r="L7" i="10"/>
  <c r="K7" i="10"/>
  <c r="E10" i="10"/>
  <c r="D17" i="10"/>
  <c r="D6" i="10" s="1"/>
  <c r="E11" i="10"/>
  <c r="E17" i="10" s="1"/>
  <c r="E6" i="10" s="1"/>
  <c r="F13" i="9"/>
  <c r="F25" i="9"/>
  <c r="D24" i="9"/>
  <c r="H10" i="10"/>
  <c r="K17" i="10"/>
  <c r="G23" i="9"/>
  <c r="I23" i="9"/>
  <c r="H23" i="9"/>
  <c r="H12" i="9" s="1"/>
  <c r="I24" i="9" l="1"/>
  <c r="I13" i="9" s="1"/>
  <c r="K24" i="9"/>
  <c r="C13" i="13"/>
  <c r="C12" i="13"/>
  <c r="C11" i="13"/>
  <c r="C15" i="13"/>
  <c r="C14" i="13"/>
  <c r="H7" i="10"/>
  <c r="C42" i="10"/>
  <c r="H24" i="9"/>
  <c r="H13" i="9" s="1"/>
  <c r="J24" i="9"/>
  <c r="J13" i="9" s="1"/>
  <c r="D25" i="9"/>
  <c r="D13" i="9"/>
  <c r="D14" i="9" s="1"/>
  <c r="D116" i="9" s="1"/>
  <c r="F14" i="9"/>
  <c r="F116" i="9" s="1"/>
  <c r="M13" i="9"/>
  <c r="G24" i="9"/>
  <c r="G13" i="9" s="1"/>
  <c r="H17" i="10"/>
  <c r="I12" i="9"/>
  <c r="O33" i="9"/>
  <c r="G12" i="9"/>
  <c r="K13" i="9" l="1"/>
  <c r="K21" i="9"/>
  <c r="G17" i="10"/>
  <c r="K18" i="10" s="1"/>
  <c r="K19" i="10" s="1"/>
  <c r="K33" i="10" s="1"/>
  <c r="M33" i="9"/>
  <c r="M25" i="9"/>
  <c r="J18" i="10" l="1"/>
  <c r="J19" i="10" s="1"/>
  <c r="J33" i="10" s="1"/>
  <c r="K10" i="9"/>
  <c r="K22" i="9"/>
  <c r="K11" i="9" s="1"/>
  <c r="O18" i="10"/>
  <c r="O19" i="10" s="1"/>
  <c r="J21" i="9" s="1"/>
  <c r="J22" i="9" s="1"/>
  <c r="J11" i="9" s="1"/>
  <c r="M18" i="10"/>
  <c r="M19" i="10" s="1"/>
  <c r="M33" i="10" s="1"/>
  <c r="N18" i="10"/>
  <c r="N19" i="10" s="1"/>
  <c r="N33" i="10" s="1"/>
  <c r="L18" i="10"/>
  <c r="L19" i="10" s="1"/>
  <c r="L33" i="10" s="1"/>
  <c r="K34" i="10" s="1"/>
  <c r="H122" i="9" s="1"/>
  <c r="I18" i="10"/>
  <c r="I19" i="10" s="1"/>
  <c r="H21" i="9"/>
  <c r="H22" i="9" s="1"/>
  <c r="H11" i="9" s="1"/>
  <c r="O33" i="10"/>
  <c r="O34" i="10" s="1"/>
  <c r="M14" i="9"/>
  <c r="M116" i="9" s="1"/>
  <c r="P33" i="9" l="1"/>
  <c r="M34" i="10"/>
  <c r="I122" i="9" s="1"/>
  <c r="I21" i="9"/>
  <c r="I22" i="9" s="1"/>
  <c r="I11" i="9" s="1"/>
  <c r="K25" i="9"/>
  <c r="K14" i="9"/>
  <c r="K116" i="9" s="1"/>
  <c r="K123" i="9" s="1"/>
  <c r="G21" i="9"/>
  <c r="G22" i="9" s="1"/>
  <c r="G11" i="9" s="1"/>
  <c r="I33" i="10"/>
  <c r="I34" i="10" s="1"/>
  <c r="H19" i="10"/>
  <c r="H33" i="10" s="1"/>
  <c r="I25" i="9"/>
  <c r="H25" i="9"/>
  <c r="H10" i="9"/>
  <c r="H14" i="9" s="1"/>
  <c r="J25" i="9"/>
  <c r="J10" i="9"/>
  <c r="J14" i="9" s="1"/>
  <c r="J116" i="9" s="1"/>
  <c r="J122" i="9"/>
  <c r="N33" i="9"/>
  <c r="Q33" i="9" s="1"/>
  <c r="R33" i="9"/>
  <c r="I10" i="9" l="1"/>
  <c r="I14" i="9" s="1"/>
  <c r="I116" i="9" s="1"/>
  <c r="I123" i="9" s="1"/>
  <c r="G25" i="9"/>
  <c r="G10" i="9"/>
  <c r="G19" i="10"/>
  <c r="G33" i="10" s="1"/>
  <c r="G14" i="9"/>
  <c r="G116" i="9" s="1"/>
  <c r="G122" i="9"/>
  <c r="H116" i="9"/>
  <c r="H123" i="9" s="1"/>
  <c r="H12" i="13"/>
  <c r="J123" i="9"/>
  <c r="O10" i="9"/>
  <c r="O25" i="9"/>
  <c r="O11" i="9"/>
  <c r="O12" i="9"/>
  <c r="G123" i="9" l="1"/>
  <c r="H13" i="13"/>
  <c r="O14" i="9"/>
  <c r="O78" i="9"/>
  <c r="O105" i="9" s="1"/>
  <c r="O116" i="9" l="1"/>
  <c r="O123" i="9" s="1"/>
  <c r="F10" i="13"/>
  <c r="H11" i="13"/>
  <c r="D10" i="13"/>
  <c r="E10" i="13"/>
  <c r="G10" i="13"/>
  <c r="H10" i="13" l="1"/>
</calcChain>
</file>

<file path=xl/sharedStrings.xml><?xml version="1.0" encoding="utf-8"?>
<sst xmlns="http://schemas.openxmlformats.org/spreadsheetml/2006/main" count="2181" uniqueCount="590">
  <si>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</si>
  <si>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</si>
  <si>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t>Вид муниципального учреждения</t>
  </si>
  <si>
    <t>по Сводному реестру</t>
  </si>
  <si>
    <t>по ОКВЭД</t>
  </si>
  <si>
    <t>Дата</t>
  </si>
  <si>
    <t>Форма по ОКУД</t>
  </si>
  <si>
    <t>0506001</t>
  </si>
  <si>
    <t>Коды</t>
  </si>
  <si>
    <t>УТВЕРЖДАЮ</t>
  </si>
  <si>
    <t>Часть 1. Сведения об оказываемых муниципальных услугах &lt;1&gt;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</si>
  <si>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</si>
  <si>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</si>
  <si>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</si>
  <si>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Начальник Управления образования</t>
  </si>
  <si>
    <t>города Пензы</t>
  </si>
  <si>
    <t>3.1. Показатели, характеризующие качество муниципальной услуги &lt;2&gt;:</t>
  </si>
  <si>
    <t>Уникальный номер реестровой записи</t>
  </si>
  <si>
    <t>Показатель, характеризующий содержание муниципальной услуги</t>
  </si>
  <si>
    <t>(наименование показателя)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</si>
  <si>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</si>
  <si>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</si>
  <si>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муниципальной услуги</t>
  </si>
  <si>
    <t>единица измерения по ОКЕИ</t>
  </si>
  <si>
    <t>код</t>
  </si>
  <si>
    <t>наименование</t>
  </si>
  <si>
    <t>Наименование показателя</t>
  </si>
  <si>
    <t xml:space="preserve">допустимые (возможные) отклонения от установленных показателей качества муниципальной услуги, в пределах которых муниципальное задание считается </t>
  </si>
  <si>
    <t>выполненным (процентов)</t>
  </si>
  <si>
    <t>Показатель объема муниципальной услуги</t>
  </si>
  <si>
    <t>Значение показателя объема муниципальной услуги</t>
  </si>
  <si>
    <t>Среднеговой размер платы (цена, тариф)</t>
  </si>
  <si>
    <t xml:space="preserve">допустимые (возможные) отклонения от установленных показателей объема муниципальной услуги, в пределах которых муниципальное задание считается </t>
  </si>
  <si>
    <t>наименование на оказание муниципальной услуги (работы)</t>
  </si>
  <si>
    <t>&lt;1&gt; 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</t>
  </si>
  <si>
    <t>услуги (услуг) раздельно по каждой из муниципальных услуг с указанием порядкового номера раздела</t>
  </si>
  <si>
    <t>&lt;2&gt; Заполняется при установлении показателей, характеризующих качество муниципальной услуги, в ведомственном перечне муниципальных услуг и работ</t>
  </si>
  <si>
    <t>3.2. Показатели, характеризующие объем муниципальной услуги:</t>
  </si>
  <si>
    <t>4. Нормативные правовые акты, устанавливающие размер платы (цену, тариф) либо порядок ее (его) установления:</t>
  </si>
  <si>
    <t>вид</t>
  </si>
  <si>
    <t>принявший орган</t>
  </si>
  <si>
    <t>дата</t>
  </si>
  <si>
    <t>номер</t>
  </si>
  <si>
    <t>Нормативный правовой акт</t>
  </si>
  <si>
    <t>5. Порядок оказания муниципальной услуги</t>
  </si>
  <si>
    <t>5.1. Нормативные правовые акты, регулирующие порядок оказания муниципальной услуги:</t>
  </si>
  <si>
    <t>(наименование, номер и дата нормативного правового акта)</t>
  </si>
  <si>
    <t>5.2. Порядок формирования потенциальных потребителей муниципальной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</si>
  <si>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</si>
  <si>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</si>
  <si>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</si>
  <si>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 &lt;1&gt;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</si>
  <si>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</si>
  <si>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</si>
  <si>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</si>
  <si>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t>3.1. Показатели, характеризующие качество работы &lt;2&gt;:</t>
  </si>
  <si>
    <t>Показатель, характеризующий содержание работы (по справочникам)</t>
  </si>
  <si>
    <t>Показатель, характеризующий условия (формы)  выполнения работы (по справочникам)</t>
  </si>
  <si>
    <t>Показатель качества работы</t>
  </si>
  <si>
    <t>3.2. Показатели, характеризующие объем работы:</t>
  </si>
  <si>
    <t>Показатель объема работы</t>
  </si>
  <si>
    <t>Значение показателя объема работы</t>
  </si>
  <si>
    <t>Часть 3. Прочие сведения о муниципальном задании &lt;1&gt;</t>
  </si>
  <si>
    <t>1. Основание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</si>
  <si>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</si>
  <si>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Форма контроля</t>
  </si>
  <si>
    <t>Периодичность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</si>
  <si>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</si>
  <si>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</si>
  <si>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</si>
  <si>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</si>
  <si>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 &lt;2&gt;</t>
  </si>
  <si>
    <t>начального общего образования</t>
  </si>
  <si>
    <t xml:space="preserve">Реализация основных общеобразовательных программ </t>
  </si>
  <si>
    <t>физические лица</t>
  </si>
  <si>
    <t>очная</t>
  </si>
  <si>
    <t>Очно-заочная</t>
  </si>
  <si>
    <t>Число обучающихся</t>
  </si>
  <si>
    <t>человек</t>
  </si>
  <si>
    <t>Образование и наука</t>
  </si>
  <si>
    <t>Общеобразовательная организация</t>
  </si>
  <si>
    <t>Удельный вес учащихся, освоивших программы начального общего, основного общего, среднего общего образования по результатам промежуточной аттестации</t>
  </si>
  <si>
    <t>Процент</t>
  </si>
  <si>
    <t>основного общего образования</t>
  </si>
  <si>
    <t>среднего общего образования</t>
  </si>
  <si>
    <t>Физические лица с ограниченными возможностями здоровья и дети-инвалиды</t>
  </si>
  <si>
    <t xml:space="preserve">Организация и проведение олимпиад, конкурсов, мероприятий, </t>
  </si>
  <si>
    <t>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</si>
  <si>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>итого</t>
  </si>
  <si>
    <t>начисления на оплату труда</t>
  </si>
  <si>
    <t>норматив</t>
  </si>
  <si>
    <t>k увеличения</t>
  </si>
  <si>
    <t>количество месяцев</t>
  </si>
  <si>
    <t>k стимулирования</t>
  </si>
  <si>
    <t>Оклад с учетом k специфики</t>
  </si>
  <si>
    <t>кол-во ставок</t>
  </si>
  <si>
    <t>Нормативные затраты на оплату труда и начисления на выплаты по оплате труда персонала, не принимающего непосредственное участие в оказании муниципальной услуги (за счет бюджета Пензенской области)</t>
  </si>
  <si>
    <t xml:space="preserve"> </t>
  </si>
  <si>
    <t>расходы на на получение компенсационных выплат по уходу за ребенком</t>
  </si>
  <si>
    <t>количество работников, имеющих право на получение компенсационных выплат по уходу за ребенком</t>
  </si>
  <si>
    <t>норматив на а компенсационные выплаты по уходу за ребенком</t>
  </si>
  <si>
    <t>Нормативные затраты на оплату труда и начисления на выплаты по оплате труда персонала, не принимающего непосредственное участие в оказании муниципальной услуги (за счет бюджета города Пензы)</t>
  </si>
  <si>
    <t>Расчет норматива затрат ,непосредственно  не связанных с оказанием муниципальной услуги</t>
  </si>
  <si>
    <t>приложение 2</t>
  </si>
  <si>
    <t>прочие</t>
  </si>
  <si>
    <t>учителя</t>
  </si>
  <si>
    <t>всего</t>
  </si>
  <si>
    <t xml:space="preserve">Расходы  </t>
  </si>
  <si>
    <t xml:space="preserve">кол-во </t>
  </si>
  <si>
    <t xml:space="preserve">Норматив  </t>
  </si>
  <si>
    <t>КОСГУ</t>
  </si>
  <si>
    <t>Норматив   на   приобретение   материальных   запасов, потребляемых в процессе оказания муниципальной услуги ( за счет бюджета Пензенской области) .</t>
  </si>
  <si>
    <t>кол-во месяцев</t>
  </si>
  <si>
    <t>кол-во ставок учителей</t>
  </si>
  <si>
    <t>Нормативные затраты на оплату труда и начисления на выплаты по оплате труда персонала, принимающего непосредственное участие в оказании муниципальной услуги ( за счет бюджета Пензенской области) .</t>
  </si>
  <si>
    <t>доведение на оклады</t>
  </si>
  <si>
    <t>стимуляция</t>
  </si>
  <si>
    <t>без стимуляции</t>
  </si>
  <si>
    <t>ставки</t>
  </si>
  <si>
    <t>ФЗП в мес</t>
  </si>
  <si>
    <t>субвенция</t>
  </si>
  <si>
    <t>Средняя ставка на класс</t>
  </si>
  <si>
    <t>кол-во классных руководителей</t>
  </si>
  <si>
    <t xml:space="preserve">Нормативные затраты на оплату труда и начисления на выплаты по оплате труда персонала, принимающего непосредственное участие в оказании муниципальной услуги ( за счет федерального бюджета) . </t>
  </si>
  <si>
    <t xml:space="preserve">количество </t>
  </si>
  <si>
    <t xml:space="preserve">Норматив   </t>
  </si>
  <si>
    <t>Норматив   на   приобретение   материальных   запасов, потребляемых в процессе оказания муниципальной услуги ( за счет бюджета города Пензы) .</t>
  </si>
  <si>
    <t>местный</t>
  </si>
  <si>
    <t>таблица для расчета заработной платы</t>
  </si>
  <si>
    <t>Нормативные затраты на оплату труда и начисления на выплаты по оплате труда персонала, принимающего непосредственное участие в оказании муниципальной услуги ( за счет бюджета города Пензы) .</t>
  </si>
  <si>
    <t>Расчет норматива затрат, непосредственно связанных с оказанием муниципальной услуги</t>
  </si>
  <si>
    <t>приложение 1</t>
  </si>
  <si>
    <t>Знаки ГТО</t>
  </si>
  <si>
    <t>запасные части</t>
  </si>
  <si>
    <t>аттестация рабочих мест</t>
  </si>
  <si>
    <t xml:space="preserve">нормативные затраты </t>
  </si>
  <si>
    <t>количество ед. услуг</t>
  </si>
  <si>
    <t>стоимость</t>
  </si>
  <si>
    <t>Прочие нормативные затраты на общехозяйственные нужды</t>
  </si>
  <si>
    <t xml:space="preserve">приобретение транспортных услуг </t>
  </si>
  <si>
    <t xml:space="preserve">Нормативные затраты на приобретение услуг связи и приобретение транспортных услуг </t>
  </si>
  <si>
    <t>Тех.обслуживание средств радиомодема прямой связи</t>
  </si>
  <si>
    <t>Утилизация ртутосодержащих отходов</t>
  </si>
  <si>
    <t>Тревожная кнопка</t>
  </si>
  <si>
    <t>поверка ремонт теплосчетчиков</t>
  </si>
  <si>
    <t>дератизация</t>
  </si>
  <si>
    <t xml:space="preserve">Нормативные затраты на содержание недвижимого имущества </t>
  </si>
  <si>
    <t>приложение 3</t>
  </si>
  <si>
    <t xml:space="preserve"> Прочие нормативные затраты на содержание  движимого имущества</t>
  </si>
  <si>
    <t>Автострахование</t>
  </si>
  <si>
    <t>нормативные затраты на коммунальные услуги</t>
  </si>
  <si>
    <t>объем потребления</t>
  </si>
  <si>
    <t>тариф</t>
  </si>
  <si>
    <t xml:space="preserve"> Нормативные затраты на обязательное страхование гражданской ответственности владельцев транспортных средств</t>
  </si>
  <si>
    <t>Зап.части</t>
  </si>
  <si>
    <t>ГСМ</t>
  </si>
  <si>
    <t>Нормативные затраты на материальные запасы</t>
  </si>
  <si>
    <t>итого затрат</t>
  </si>
  <si>
    <t>тех.обслуживание пожарной сигнализации</t>
  </si>
  <si>
    <t>Текущий ремонт</t>
  </si>
  <si>
    <t>Тех.обслуживание</t>
  </si>
  <si>
    <t xml:space="preserve">Нормативные затраты на содержание движимого имущества </t>
  </si>
  <si>
    <t>приложение 4</t>
  </si>
  <si>
    <t>м3</t>
  </si>
  <si>
    <t>вывоз жидких бытовых отходов и объемов жидких бытовых отходов</t>
  </si>
  <si>
    <t>кВат</t>
  </si>
  <si>
    <t>электрическая энергия</t>
  </si>
  <si>
    <t>гКал</t>
  </si>
  <si>
    <t>тепловая  энергия</t>
  </si>
  <si>
    <t>горячее водоснабжение</t>
  </si>
  <si>
    <t>водоотведение</t>
  </si>
  <si>
    <t>холодное водоснабжение</t>
  </si>
  <si>
    <t>нормативные затраты на коммунальные услуги с учетом увеличения</t>
  </si>
  <si>
    <t>тариф (руб.)</t>
  </si>
  <si>
    <t>ед.измерения</t>
  </si>
  <si>
    <t>Нормативные затраты на коммунальные услуги</t>
  </si>
  <si>
    <t>гос.пошлина</t>
  </si>
  <si>
    <t>экологический сбор</t>
  </si>
  <si>
    <t>Налог на имущество</t>
  </si>
  <si>
    <t>Нормативные затраты на уплату налогов</t>
  </si>
  <si>
    <t>приложение 6</t>
  </si>
  <si>
    <t>Всего по учреждению</t>
  </si>
  <si>
    <t xml:space="preserve">Всего </t>
  </si>
  <si>
    <t>руб.</t>
  </si>
  <si>
    <t>Всего затраты на общехозяйственные нужды</t>
  </si>
  <si>
    <t>2.9. Приобретение коммунальных услуг (приложение 5)</t>
  </si>
  <si>
    <t>2.8 Прочие нормативные затраты на содержание  движимого имущества (приложение 4)</t>
  </si>
  <si>
    <t>2.7 Нормативные затраты на обязательное страхование гражданской ответственности владельцев транспортных средств (приложение 4)</t>
  </si>
  <si>
    <t>2.6 Нормативные затраты на материальные запасы (приложение4)</t>
  </si>
  <si>
    <t>2.5 Нормативные затраты на техническое обслуживание и текущий ремонт объектов движимого имущества (приложение 4)</t>
  </si>
  <si>
    <t xml:space="preserve">3. Затраты на содержание движимого имущества </t>
  </si>
  <si>
    <t>Утилизация</t>
  </si>
  <si>
    <t>2.4.Прочие нормативные затраты на общехозяйственные нужды (приложение3)</t>
  </si>
  <si>
    <t>транспортные услуги</t>
  </si>
  <si>
    <t>2.3. Затраты на приобретение услуг связи (приложение3)</t>
  </si>
  <si>
    <t>Услуги по дератизации</t>
  </si>
  <si>
    <t>Услуги по тех.обслуживание ТС</t>
  </si>
  <si>
    <t>Услуги по вывозу мусора</t>
  </si>
  <si>
    <t>2.2 Затраты на содержание недвижимого имущества (приложение3)</t>
  </si>
  <si>
    <t>затраты на компенсационные выплаты по уходу за ребенком</t>
  </si>
  <si>
    <t>затраты на  начисления на выплаты по оплате труда  персонала, не принимающего непосредственное участие в оказании муниципальной услуги</t>
  </si>
  <si>
    <t>затраты на оплату труда  персонала, не принимающего непосредственное участие в оказании муниципальной услуги</t>
  </si>
  <si>
    <t>2.1.2 В том числе затраты на оплату труда и начисления на выплаты по оплате труда  персонала, не принимающего непосредственное участие в оказании муниципальной услуги (за счет бюджета города Пензы)</t>
  </si>
  <si>
    <t>2.1.1 В том числе затраты на оплату труда и начисления на выплаты по оплате труда  персонала, не принимающего непосредственное участие в оказании муниципальной услуги (за счет бюджета Пензенской области)</t>
  </si>
  <si>
    <t>2.1 Затраты на оплату труда и начисления на выплаты по оплате труда  персонала, не принимающего непосредственное участие в оказании муниципальной услуги (приложение2)</t>
  </si>
  <si>
    <t>Нормативные   затраты   на   приобретение   материальных   запасов, потребляемых в процессе оказания муниципальной услуги</t>
  </si>
  <si>
    <t>затраты на  начисления на выплаты по оплате труда и персонала, принимающего непосредственное участие в оказании муниципальной услуги</t>
  </si>
  <si>
    <t>затраты на оплату труда  персонала, принимающего непосредственное участие в оказании муниципальной услуги</t>
  </si>
  <si>
    <t xml:space="preserve">1.3 В том числе затраты, непосредственно связанные с оказанием муниципальной услуги ( за счет бюджета Пензенской области) . </t>
  </si>
  <si>
    <t xml:space="preserve">1.1 В том числе затраты, непосредственно связанные с оказанием муниципальной услуги ( за счет бюджета города Пензы) . </t>
  </si>
  <si>
    <t>1. Затраты, непосредственно связанные с оказанием муниципальной услуги. (приложение1)</t>
  </si>
  <si>
    <t>Общий объем приобретаемых муниципальных услуг (выполняемых работ) (руб)</t>
  </si>
  <si>
    <t>Норматив финансовых затрат на единицу приобретаемой муниципальной услуги (выполняемой работы) (руб.)</t>
  </si>
  <si>
    <t>Единица измерения</t>
  </si>
  <si>
    <t xml:space="preserve">Наименование приобретаемых муниципальных услуг </t>
  </si>
  <si>
    <t>Объем муниципальных услуг в натуральных показателях</t>
  </si>
  <si>
    <t>Объем приобретаемых муниципальных услуг (выполняемых работ) в стоимостных показателях</t>
  </si>
  <si>
    <t>Определение нормативных затрат на оказание муниципальной услуги</t>
  </si>
  <si>
    <t>001</t>
  </si>
  <si>
    <t>отклонение</t>
  </si>
  <si>
    <t>смета</t>
  </si>
  <si>
    <t>ВР</t>
  </si>
  <si>
    <t>Проверка</t>
  </si>
  <si>
    <t>СРЕДНЕЕ</t>
  </si>
  <si>
    <t>СТАРШЕЕ</t>
  </si>
  <si>
    <t>НОРМАТИВ</t>
  </si>
  <si>
    <t>НАЧАЛ</t>
  </si>
  <si>
    <t>ОСН</t>
  </si>
  <si>
    <t>ДОВЕД</t>
  </si>
  <si>
    <t>ОДАР</t>
  </si>
  <si>
    <t>КОЛ-ВО ОДАР</t>
  </si>
  <si>
    <t>пов. квалиф.</t>
  </si>
  <si>
    <t>коректировка</t>
  </si>
  <si>
    <t>Нормативные   затраты   на   приобретение   материальных   запасов и услуг, потребляемых в процессе оказания муниципальной услуги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</si>
  <si>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</si>
  <si>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</si>
  <si>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</si>
  <si>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 xml:space="preserve">Реализация адаптированных основных общеобразовательных программ </t>
  </si>
  <si>
    <t>Реализация адаптированных основных общеобразовательных программ начального общего образования</t>
  </si>
  <si>
    <t>ТО видеонаблюдения</t>
  </si>
  <si>
    <t xml:space="preserve"> Наименование муниципальной услуги</t>
  </si>
  <si>
    <t>5.2. Порядок информирования потенциальных потребителей муниципальной услуги:</t>
  </si>
  <si>
    <t>не менее 99%</t>
  </si>
  <si>
    <t>Приказ</t>
  </si>
  <si>
    <t>Управление образования города Пензы</t>
  </si>
  <si>
    <r>
      <rPr>
        <u/>
        <sz val="11"/>
        <rFont val="Times New Roman"/>
        <family val="1"/>
        <charset val="204"/>
      </rPr>
      <t xml:space="preserve">                                    </t>
    </r>
    <r>
      <rPr>
        <sz val="11"/>
        <rFont val="Times New Roman"/>
        <family val="1"/>
        <charset val="204"/>
      </rPr>
      <t>Ю.А.Голодяев</t>
    </r>
  </si>
  <si>
    <r>
      <t xml:space="preserve">Раздел </t>
    </r>
    <r>
      <rPr>
        <u/>
        <sz val="11"/>
        <rFont val="Times New Roman"/>
        <family val="1"/>
        <charset val="204"/>
      </rPr>
      <t xml:space="preserve">      1     .</t>
    </r>
  </si>
  <si>
    <r>
      <t xml:space="preserve">Раздел </t>
    </r>
    <r>
      <rPr>
        <u/>
        <sz val="11"/>
        <rFont val="Times New Roman"/>
        <family val="1"/>
        <charset val="204"/>
      </rPr>
      <t xml:space="preserve">      2     .</t>
    </r>
  </si>
  <si>
    <r>
      <t xml:space="preserve">Раздел </t>
    </r>
    <r>
      <rPr>
        <u/>
        <sz val="11"/>
        <rFont val="Times New Roman"/>
        <family val="1"/>
        <charset val="204"/>
      </rPr>
      <t xml:space="preserve">      3     .</t>
    </r>
  </si>
  <si>
    <r>
      <t xml:space="preserve">Раздел </t>
    </r>
    <r>
      <rPr>
        <u/>
        <sz val="11"/>
        <rFont val="Times New Roman"/>
        <family val="1"/>
        <charset val="204"/>
      </rPr>
      <t xml:space="preserve">      4     .</t>
    </r>
  </si>
  <si>
    <r>
      <t xml:space="preserve">Раздел </t>
    </r>
    <r>
      <rPr>
        <u/>
        <sz val="11"/>
        <rFont val="Times New Roman"/>
        <family val="1"/>
        <charset val="204"/>
      </rPr>
      <t xml:space="preserve">   1    .</t>
    </r>
  </si>
  <si>
    <t>на официальном сайте учреждения</t>
  </si>
  <si>
    <t>3. Порядок контроля за выполнением муниципального задания</t>
  </si>
  <si>
    <t>Наименование муниципального учреждения:</t>
  </si>
  <si>
    <t>флюорография</t>
  </si>
  <si>
    <t>возмещение коммунальных услуг</t>
  </si>
  <si>
    <t>Транспортный налог</t>
  </si>
  <si>
    <t>Налогооблагаемая база</t>
  </si>
  <si>
    <t>Ставка налога</t>
  </si>
  <si>
    <t>Наименование налога</t>
  </si>
  <si>
    <t>Земельный налог</t>
  </si>
  <si>
    <t>приложение 5</t>
  </si>
  <si>
    <t>Тех.обслуживание ТС</t>
  </si>
  <si>
    <t>Дератизация</t>
  </si>
  <si>
    <t xml:space="preserve">Тех.обслуживание средств АПС </t>
  </si>
  <si>
    <t>Замер сопротивления</t>
  </si>
  <si>
    <t>Промывка, опрессовка</t>
  </si>
  <si>
    <t>Техн. обслуживание теплосчетчиков</t>
  </si>
  <si>
    <t>Услуги по тех.обслуживанию пожарной сигнализации</t>
  </si>
  <si>
    <t>Медосмотр сотрудников</t>
  </si>
  <si>
    <t>Изготовление бланков аттестатов</t>
  </si>
  <si>
    <t>Электронная отчетность</t>
  </si>
  <si>
    <t xml:space="preserve">Приобретение услуг связи </t>
  </si>
  <si>
    <t>Холодное водоснабжение</t>
  </si>
  <si>
    <t>Водоотведение</t>
  </si>
  <si>
    <t>Тепловая  энергия</t>
  </si>
  <si>
    <t>Электрическая энергия</t>
  </si>
  <si>
    <t>3. Нормативные затраты на содержание имущества  (приложение 6)</t>
  </si>
  <si>
    <t>2. Затраты на общехозяйственные нужды.</t>
  </si>
  <si>
    <t>Приобретение услуг связи (абонентская плата)</t>
  </si>
  <si>
    <t>курсы повышения квалификации пед.работников</t>
  </si>
  <si>
    <t>курсы повышения квалификации пед. работников</t>
  </si>
  <si>
    <t>Экологический сбор</t>
  </si>
  <si>
    <t>Госпошлина</t>
  </si>
  <si>
    <t>ОТЧЕТ</t>
  </si>
  <si>
    <t xml:space="preserve">об использовании субсидии </t>
  </si>
  <si>
    <t>№ п/п</t>
  </si>
  <si>
    <t>Наименование расходов</t>
  </si>
  <si>
    <t>Поступило</t>
  </si>
  <si>
    <t>Израсходовано</t>
  </si>
  <si>
    <t>Остаток на отчетную дату</t>
  </si>
  <si>
    <t>Причина  образования остатка</t>
  </si>
  <si>
    <t>с начала года (нарастающим итогом)</t>
  </si>
  <si>
    <t>в том числе за отчетный период</t>
  </si>
  <si>
    <t>Реализация основных общеобразовательных программ всего, в том числе: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</si>
  <si>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</si>
  <si>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>для коррекции (только 1 класс)</t>
  </si>
  <si>
    <t xml:space="preserve">обычные </t>
  </si>
  <si>
    <t>Электронная отчетность, ЭЦП</t>
  </si>
  <si>
    <t>K нормативных затрат на коммунальные услуги</t>
  </si>
  <si>
    <t xml:space="preserve"> затраты на коммунальные услуги с учетом увеличения</t>
  </si>
  <si>
    <t>K ормативных затрат на содержание имущества</t>
  </si>
  <si>
    <t>1 раз в год</t>
  </si>
  <si>
    <t xml:space="preserve">Гл.бухгалтер МБОУ </t>
  </si>
  <si>
    <t>Норматив   на   финансовое обеспечение предупредительных мер по сокращению производственного травматизма и профессиональных заболеваний (за счет бюджета Пензенской области) .</t>
  </si>
  <si>
    <t>Норматив   на   финансовое обеспечение предупредительных мер по сокращению производственного травматизма и профессиональных заболеваний (за счет бюджета г.Пензы) .</t>
  </si>
  <si>
    <t>226(119)</t>
  </si>
  <si>
    <t>340(119)</t>
  </si>
  <si>
    <t>возмещение на СИЗы с травматизма</t>
  </si>
  <si>
    <t>Поверка и ремонт теплосчетчиков, электросчетчиков</t>
  </si>
  <si>
    <t>поминутная оплата</t>
  </si>
  <si>
    <t>маммография</t>
  </si>
  <si>
    <t>женщины</t>
  </si>
  <si>
    <t>мужчины</t>
  </si>
  <si>
    <t>Код по общероссийскому базовому перечню или региональному</t>
  </si>
  <si>
    <t>Допустимые отклонения от установленныхпоказателей качества муниципальной услуги</t>
  </si>
  <si>
    <t>в процентах</t>
  </si>
  <si>
    <t>в абсолютных величинах</t>
  </si>
  <si>
    <t>Органы местного мамоуправления, осуществляющие контроль за выполнением муниципального задания</t>
  </si>
  <si>
    <t>в соответсвии с постановлением Администрации города Пензы №2147 от 14.12.2015 г. "О порядке формирования муниципального задания на оказание муниципальных услуг (выполнение работ) в отношении муниципальных учреждений и финансового обеспечения выполнения муниципального задания"</t>
  </si>
  <si>
    <t xml:space="preserve"> не позднее 1 февраля финансового года, следующего за отчетным</t>
  </si>
  <si>
    <t>(указывается вид муниципального учреждения из общероссийского базового  перечня или регионального перечня)</t>
  </si>
  <si>
    <t xml:space="preserve">1. Общие сведения (полное наименование образовательного учреждения, тип и вид 
учреждения,  адрес образовательного учреждения; Ф.И.О. руководителя 
образовательного учреждения; контактная информация для связи с образовательным 
учрежде
нием (телефоны,  факс, адрес электронной почты, адрес сайта);
и.т.д.);
2. Документы (устав образовательного учреждения;  программа развития 
образовательного учреждения;  другие локальные нормативные акты);
3. Учебная и воспитательная деятельность (образова
тельная программа учреждения, 
учебный план; содержание реализуемой образовательной программы и 
дополнительных образовательных программ; и.т.д.);
4.Отчетность (отчет о деятельности образовательного учреждения за год, 
включающий в себя сведения об основных р
езультатах деятельности 
образовательного учреждения);
5.Информация для поступающих в образовательное учреждение (правила приема в 
образовательное учреждение; информация о зачислении в образовательное 
учреждение).
6.Другая информация о деятельности образова
тельного учреждения (участие 
образовательного учреждения в проектах; дополнительные занятия; </t>
  </si>
  <si>
    <t>По мере изменения данных</t>
  </si>
  <si>
    <t xml:space="preserve">Согласно  п.  15  приказа  Минфина  России  от  21.07.2011  No  86-н  «Об  утверждении  порядка  предоставления  информации  государственным 
(муниципальным) учреждением ее размещения на официальном сайте в сети интернет и ведения указанного сайта» муниципальное задание и отчет о 
выполнении   муниципального   задания   размещаются   на  официальном   сайте   в   информационно-телекоммуникационной   сети   «Интернет» 
</t>
  </si>
  <si>
    <t>в соответствии с планом Управления образования</t>
  </si>
  <si>
    <t>Выездная проверка</t>
  </si>
  <si>
    <t>Федеральный закон от 29.12.2012 № 273-ФЗ (с изменениями и дополнениями) «Об образовании в Российской Федерации»; Федеральный закон от 06.10.2003 №131-ФЗ (с изменениями и дополнениями)"Об общих принципах организации местного самоуправления в Российской Федерации"; приказ  Министерства  образования  и  науки  РФ  от 30.08.2013 №1015 "Об утверждении порядка организации и осуществления образовательной деятельности по основным общеобразовательным программам-образовательным программам начального общего,основного общего и среднего общего образования";
постановление Главного государственного санитарного врача Российской Федерации от 29.12.2010 №189  «Об утверждении СанПиН 2.4.2.2821-10 
«Санитарно-эпидемиологические требования к условиям и организации обучения в общеобразовательных учреждениях"(с изменениями и дополнениями)</t>
  </si>
  <si>
    <t>Задание может быть досрочно прекращено (полностью или частично) в случаях:
- реорганизации или ликвидации муниципального бюджетного  общеобразовательного учреждения;
- изменения типа учреждения;
- исключение муниципальной услуги из перечня муниципальных услуг;
-  иных  случаях,  когда учреждение  не  обеспечивает  выполнение задания  или  имеются  основания  предполагать,  что  задание  не будет выполнено  в 
полном объеме или в соответствии с иными установленными требованиями.</t>
  </si>
  <si>
    <t>4.2.1. Сроки представления предварительного отчета о выполнении муниципального задания           до 01 ноября текущего года</t>
  </si>
  <si>
    <t xml:space="preserve">Реализация дополнительных общеразвивающих программ </t>
  </si>
  <si>
    <t>физические лица (несовершеннолетние лица в возрасте до 18 лет, относящиеся к категории "детей")</t>
  </si>
  <si>
    <t>3.1. Показатели, характеризующие качество муниципальной услуги &lt;3&gt;:</t>
  </si>
  <si>
    <t>Показатель, характеризующий содержание муниципальной услуги (по справочникам)</t>
  </si>
  <si>
    <t>Показатель, характеризующий условия (формы) оказания муниципальной услуги (по справочникам)</t>
  </si>
  <si>
    <r>
      <t xml:space="preserve">Допустимые(возможные) отклонения от установленны показателей качества муниципальной услуги </t>
    </r>
    <r>
      <rPr>
        <vertAlign val="superscript"/>
        <sz val="8"/>
        <rFont val="Times New Roman"/>
        <family val="1"/>
        <charset val="204"/>
      </rPr>
      <t>6</t>
    </r>
  </si>
  <si>
    <t xml:space="preserve">единица измерения </t>
  </si>
  <si>
    <r>
      <t xml:space="preserve">Размер платы (цена, тариф) </t>
    </r>
    <r>
      <rPr>
        <vertAlign val="superscript"/>
        <sz val="8"/>
        <rFont val="Times New Roman"/>
        <family val="1"/>
        <charset val="204"/>
      </rPr>
      <t>7</t>
    </r>
  </si>
  <si>
    <r>
      <t xml:space="preserve">Допустимые(возможные) отклонения от установленных показателей объема муниципальной услуги </t>
    </r>
    <r>
      <rPr>
        <vertAlign val="superscript"/>
        <sz val="8"/>
        <rFont val="Times New Roman"/>
        <family val="1"/>
        <charset val="204"/>
      </rPr>
      <t>6</t>
    </r>
  </si>
  <si>
    <r>
      <t xml:space="preserve">Наименование показателя </t>
    </r>
    <r>
      <rPr>
        <vertAlign val="superscript"/>
        <sz val="8"/>
        <rFont val="Times New Roman"/>
        <family val="1"/>
        <charset val="204"/>
      </rPr>
      <t>4</t>
    </r>
  </si>
  <si>
    <t>единица измерения</t>
  </si>
  <si>
    <r>
      <t xml:space="preserve">наименование </t>
    </r>
    <r>
      <rPr>
        <vertAlign val="superscript"/>
        <sz val="8"/>
        <rFont val="Times New Roman"/>
        <family val="1"/>
        <charset val="204"/>
      </rPr>
      <t>4</t>
    </r>
  </si>
  <si>
    <r>
      <t xml:space="preserve">код по ОКЕИ </t>
    </r>
    <r>
      <rPr>
        <vertAlign val="superscript"/>
        <sz val="8"/>
        <rFont val="Times New Roman"/>
        <family val="1"/>
        <charset val="204"/>
      </rPr>
      <t>5</t>
    </r>
  </si>
  <si>
    <t>Федеральный закон от 29.12.2012 273-ФЗ «Об образовании в Российской Федерации»</t>
  </si>
  <si>
    <t xml:space="preserve"> - приказ  Министерства  образования  и  науки  РФ  от  29  августа  2013  г.  No  1008  «Об  утверждении  Порядка  организации  и  осуществления 
образовательной деятельности по дополнительным общеобразовательным программам»;
- постановление Главного государственного санитарного врача Российской Федерации от 04.07.2014 г. No 41  «Об утверждении СанПиН 2.4.4.3172-14 
«Санитарно-эпидемиологические требования к устройству, содержанию и организации режима работы образовательных организаций дополнительного 
образования детей»;</t>
  </si>
  <si>
    <t>Нормативные затраты на оплату труда и начисления на выплаты по оплате труда персонала, не принимающего непосредственное участие в оказании муниципальной услуги</t>
  </si>
  <si>
    <t>пдо</t>
  </si>
  <si>
    <t>Педагогические работники</t>
  </si>
  <si>
    <t>кол-во педагогических ставок</t>
  </si>
  <si>
    <t>должность</t>
  </si>
  <si>
    <t>Нормативные затраты на оплату труда и начисления на выплаты по оплате труда персонала, принимающего непосредственное участие в оказании муниципальной услуги</t>
  </si>
  <si>
    <t>Расчет норматива затрат ,непосредственно связанных с оказанием муниципальной услуги</t>
  </si>
  <si>
    <t xml:space="preserve">Фонды по М и R </t>
  </si>
  <si>
    <t>Норматив   на   финансовое обеспечение предупредительных мер по сокращению производственного травматизма и профессиональных заболеваний (за счет бюджета города Пензы) .</t>
  </si>
  <si>
    <t>Основной фонд</t>
  </si>
  <si>
    <t>заполнить только голубые ячейки</t>
  </si>
  <si>
    <t>таблица для зарплаты</t>
  </si>
  <si>
    <t>итого прочие</t>
  </si>
  <si>
    <t>транспортный налог</t>
  </si>
  <si>
    <t>аттестация</t>
  </si>
  <si>
    <t>обслуживание 1С:Бухгалтерия</t>
  </si>
  <si>
    <t>электронная отчетность</t>
  </si>
  <si>
    <t>перевыпуск ЭЦП</t>
  </si>
  <si>
    <t>настройка программного обеспечения</t>
  </si>
  <si>
    <t>курсы повышения квалификации</t>
  </si>
  <si>
    <t>договор подряда(услуги мед. сестры)</t>
  </si>
  <si>
    <t>Итого</t>
  </si>
  <si>
    <t>ренген</t>
  </si>
  <si>
    <t>медосмотр</t>
  </si>
  <si>
    <t>питьевая вода</t>
  </si>
  <si>
    <t>хоз.товары</t>
  </si>
  <si>
    <t xml:space="preserve"> объем прочих затрат на общехозяйственные нужды</t>
  </si>
  <si>
    <t>Объем прочих затрат на общехозяйственные нужды</t>
  </si>
  <si>
    <t>Приобретение плодоовощной продукции</t>
  </si>
  <si>
    <t>освобожденные от оплаты на 90%</t>
  </si>
  <si>
    <t>освобожденные от оплаты на 25 %</t>
  </si>
  <si>
    <t>освобожденные от оплаты на 100 %</t>
  </si>
  <si>
    <t>Кол-во детей со 100%-ной оплатой</t>
  </si>
  <si>
    <t>k  - индекс-дефлятор</t>
  </si>
  <si>
    <t>d - количество детей</t>
  </si>
  <si>
    <t>t - плановое количество дето-дней для дошкольного образовательного учреждения в год</t>
  </si>
  <si>
    <t>N - стоимость питания в день</t>
  </si>
  <si>
    <t>объем затрат в части расходов на питание на одного воспитанника в год</t>
  </si>
  <si>
    <t xml:space="preserve">Нормативные затраты в части расходов на питание </t>
  </si>
  <si>
    <t>приобретение конвертов</t>
  </si>
  <si>
    <t>интернет</t>
  </si>
  <si>
    <t>приобретение услуг связи (абонентская плата)</t>
  </si>
  <si>
    <t>Огнезащитная обработка</t>
  </si>
  <si>
    <t>Содержание и ремонт общедомового имущества</t>
  </si>
  <si>
    <t>Поверка монометров</t>
  </si>
  <si>
    <t>Очистка кровель</t>
  </si>
  <si>
    <t>Ппромывка опрессовка</t>
  </si>
  <si>
    <t>Взносы на кап. ремонт</t>
  </si>
  <si>
    <t>Противопожарные мероприятия</t>
  </si>
  <si>
    <t>Проверка и ремонт теплосчетчиков</t>
  </si>
  <si>
    <t>Услуги тех.обслуживания теплосчетчиков</t>
  </si>
  <si>
    <t>Услуги тех.обслуживания радиомодема</t>
  </si>
  <si>
    <t>Услуги тех.обслуживания кнопки</t>
  </si>
  <si>
    <t>Услуги тех.обслуживания пожарной сигнализации</t>
  </si>
  <si>
    <t>Услуги по дератизации,дезинсекци</t>
  </si>
  <si>
    <t>Услуги тех.обслуживаниекнопки</t>
  </si>
  <si>
    <t>электрическая энергия (свободные нерегулируемые цены) сумма</t>
  </si>
  <si>
    <t xml:space="preserve">тепловая  энергия </t>
  </si>
  <si>
    <t>горячая вода</t>
  </si>
  <si>
    <t>k увеличения нормативных затрат на коммунальные услуги</t>
  </si>
  <si>
    <t>k увеличения нормативных затрат на содеожание имущества</t>
  </si>
  <si>
    <t>Налог на землю</t>
  </si>
  <si>
    <t>ставка налога</t>
  </si>
  <si>
    <t>налогооблагаемая база</t>
  </si>
  <si>
    <t>Л.А.Погодина</t>
  </si>
  <si>
    <t>В.В.Григорьев</t>
  </si>
  <si>
    <t>- налог на землю</t>
  </si>
  <si>
    <t>- налог на имущество</t>
  </si>
  <si>
    <t>3 Нормативные затраты на содержание имущества  (приложение 6)</t>
  </si>
  <si>
    <t>лампы</t>
  </si>
  <si>
    <t>Прочее</t>
  </si>
  <si>
    <t>хозяйственные нужды</t>
  </si>
  <si>
    <t>стирка белья</t>
  </si>
  <si>
    <t>Работы текущего ремонта здания и помещений</t>
  </si>
  <si>
    <t>Услуги по приобретению материалов для текущего ремонта</t>
  </si>
  <si>
    <t>Услуги обучения пожарно-техническому минимуму</t>
  </si>
  <si>
    <t>Услуги обучения по эксплуатации тепловых систем</t>
  </si>
  <si>
    <t>Услуги обучения электротехническому минимуму</t>
  </si>
  <si>
    <t>Работы по проверке приборов учета</t>
  </si>
  <si>
    <t>Услуги по обследованию дымоходов</t>
  </si>
  <si>
    <t>Услуги по страхованию здания</t>
  </si>
  <si>
    <t>Работы по промывке теплового ввода</t>
  </si>
  <si>
    <t>Работы по испытанию теплового ввода</t>
  </si>
  <si>
    <t>Услуги по подготовке УУТЭ к осенне-зимнему сезону</t>
  </si>
  <si>
    <t>4. Услуги и работы текущего ремонта, обеспечение готовности объекта к новому учебному году</t>
  </si>
  <si>
    <t>Услуга по восполнению хозяйственных товаров</t>
  </si>
  <si>
    <t>Услуги по текущему содержанию и техническому обслуживанию торгового оборудования столовой</t>
  </si>
  <si>
    <t>Услуги по устранению аварийных ситуаций домового оборудования</t>
  </si>
  <si>
    <t>Работы по дезинфекции</t>
  </si>
  <si>
    <t>Услуги по текущему содержанию и техническому обслуживанию УУТЭ</t>
  </si>
  <si>
    <t>Услуги по вызову ТОП</t>
  </si>
  <si>
    <t>3. Услуги и работы по нормативному содержанию имущества и помещений муниципальной собственности</t>
  </si>
  <si>
    <t>Услуги обеспечения норм освещенности периметра здания и территории в вечернее время</t>
  </si>
  <si>
    <t>Услуга по замеру сопротивления электроцепей, изоляции</t>
  </si>
  <si>
    <t>Услуга по противопожарной пропитке чердачных деревянных конструкций</t>
  </si>
  <si>
    <t>Услуга по содержанию и техническому обслуживанию КТС</t>
  </si>
  <si>
    <t>Услуга по содержанию и техническому обслуживанию системы аварийного освещения</t>
  </si>
  <si>
    <t xml:space="preserve">приобретение услуг связи </t>
  </si>
  <si>
    <t>2. Затраты, на общехозяйственные нужды.</t>
  </si>
  <si>
    <t>Объем приобретаемых муниципальных услуг (выполняемых работ) в стоимостных  показателях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</si>
  <si>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</si>
  <si>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>Организация отдыха детей и молодежи</t>
  </si>
  <si>
    <t>Реализация дополнительного образования</t>
  </si>
  <si>
    <t>Наименование муниципальной услуги</t>
  </si>
  <si>
    <r>
      <t xml:space="preserve">Наименование учреждения:      </t>
    </r>
    <r>
      <rPr>
        <b/>
        <u/>
        <sz val="12"/>
        <rFont val="Times New Roman"/>
        <family val="1"/>
        <charset val="204"/>
      </rPr>
      <t xml:space="preserve"> Муниципальное бюджетное образовательное учреждение дополнительного образования </t>
    </r>
  </si>
  <si>
    <t>Проверка 2020</t>
  </si>
  <si>
    <t>211(М) (R )</t>
  </si>
  <si>
    <t>213(М) (R )</t>
  </si>
  <si>
    <t>количество детей  лагерь</t>
  </si>
  <si>
    <t>мероприятия</t>
  </si>
  <si>
    <t>Проверка 2021</t>
  </si>
  <si>
    <t>Закон Пензенской области</t>
  </si>
  <si>
    <t>Законодательное собрание Пензенской области</t>
  </si>
  <si>
    <t>количество ч/ч внешкольное уч-ние</t>
  </si>
  <si>
    <t>Допустимые отклонения от установленных показателей объема муниципальной услуги</t>
  </si>
  <si>
    <t>340-353</t>
  </si>
  <si>
    <t>340 - 353</t>
  </si>
  <si>
    <t>310 учеб</t>
  </si>
  <si>
    <t>проверка</t>
  </si>
  <si>
    <t>отклонения</t>
  </si>
  <si>
    <t>коэффициент</t>
  </si>
  <si>
    <t>объем</t>
  </si>
  <si>
    <t>Общий объем приобретаемых муниципальных услуг (выполняемых работ) (руб) фок</t>
  </si>
  <si>
    <t>прочее</t>
  </si>
  <si>
    <t>&lt;1&gt; Заполняется в случае досрочного прекращения выполнения муниципального задания.</t>
  </si>
  <si>
    <t>&lt;2&gt; Формируется при установлении муниципального о задания на оказание муниципальной услуги (услуг) и выполнение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</si>
  <si>
    <t>&lt;3&gt; Заполняется в соответствии с показателями, характеризующими качество услуг (работ), установленными в общероссийском базовом перечне или региональном перечне, а при их отсутствии или в дополнение к ним - показателями, характеризующими качество, установленными при необходимости органом, осуществляющим функции и полномочия учредителя муниципальных бюджетных или автономных учреждений, главным распорядителем средств бюджета города Пензы, в ведении которого находятся муниципальные казенные учреждения, и единицы их измерения.</t>
  </si>
  <si>
    <t>&lt;4&gt; Заполняется в соответствии с общероссийскими базовыми перечнями или региональными перечнями.</t>
  </si>
  <si>
    <t>&lt;5&gt; Заполняется в соответствии с кодом, указанным в общероссийском базовом перечне или региональном перечне (при наличии).</t>
  </si>
  <si>
    <t>&lt;6&gt; Заполняется в случае, если для разных услуг и работ устанавливаются различные показатели допустимых (возможных) отклонений или если указанные отклонения устанавливаются в абсолютных величинах. В случае, если единицей объема работы является работа в целом, показатель не указывается.</t>
  </si>
  <si>
    <t>&lt;7&gt; 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муниципального задания. При оказании услуг (выполнении работ) на платной основе сверх установленного муниципального задания указанный показатель не формируется.</t>
  </si>
  <si>
    <t>&lt;8&gt; Заполняется в целом по муниципальному заданию.</t>
  </si>
  <si>
    <t>&lt;9&gt; В числе иных показателей может быть указано допустимое (возможное) отклонение от выполнения муниципального задания (части муниципального задания), в пределах которого оно (его часть) считается выполненным (выполненной),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бюджета города Пензы, в ведении которого находятся муниципальные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процентах, в абсолютных величинах). В этом случае допустимые (возможные) отклонения, предусмотренные подпунктами 3.1 и 3.2 настоящего муниципального задания, не заполняются. В случае установления требования о представлении ежемесячных или ежеквартальных отчетов о выполнении муниципального задания в числе иных показателей устанавливаются показатели выполнения муниципального задания в процентах от годового объема оказания муниципальных услуг (выполнения работ) или в абсолютных величинах как для муниципального задания в целом, так и относительно его части (в том числе с учетом неравномерного оказания муниципальных услуг (выполнения работ) в течение календарного года).</t>
  </si>
  <si>
    <t>Реализация программдополнительного образования</t>
  </si>
  <si>
    <t>Расчет норматива затрат ,непосредственно связанных с оказанием муниципальной услуги Реализация программ дополнительного образования</t>
  </si>
  <si>
    <t>85.12</t>
  </si>
  <si>
    <t>85.13</t>
  </si>
  <si>
    <t>85.14</t>
  </si>
  <si>
    <r>
      <t xml:space="preserve">(наименование показателя </t>
    </r>
    <r>
      <rPr>
        <vertAlign val="super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>)</t>
    </r>
  </si>
  <si>
    <t>Нормативные затраты на обеспечение педагогических работников книгоиздательской продукцией</t>
  </si>
  <si>
    <t>норматив на обеспечение книгоиздательской продукцией педагогического персонала</t>
  </si>
  <si>
    <t>количество работников, имеющих право на получение книгоиздательской продукции</t>
  </si>
  <si>
    <t>расходы на обеспечение книгоиздательской продукцией педагогического персонала</t>
  </si>
  <si>
    <t xml:space="preserve">вопитатели </t>
  </si>
  <si>
    <t>причие</t>
  </si>
  <si>
    <t>Норматив   на   приобретение   призов</t>
  </si>
  <si>
    <t>Расходы  на   приобретение   призов, потребляемых в процессе оказания муниципальной услуги</t>
  </si>
  <si>
    <t>Для вспомогательной таблицы</t>
  </si>
  <si>
    <t>Прочие</t>
  </si>
  <si>
    <t xml:space="preserve">наименование </t>
  </si>
  <si>
    <t>Расходы  на   приобретение   канцтоваров, потребляемых в процессе оказания муниципальной услуги</t>
  </si>
  <si>
    <t>канцтовары</t>
  </si>
  <si>
    <t>Директор МБОУ 47</t>
  </si>
  <si>
    <t>Н.К. Шумилина</t>
  </si>
  <si>
    <t>Л.Н. Шайдрова</t>
  </si>
  <si>
    <t>огнезащитная обработка</t>
  </si>
  <si>
    <t>хозяйственные расходы</t>
  </si>
  <si>
    <t>Хозяйственные материалы</t>
  </si>
  <si>
    <t>804200О.99.0.ББ52АЖ48000</t>
  </si>
  <si>
    <t>801012О.99.0.БА81БА80000</t>
  </si>
  <si>
    <t>802111О.99.0.БА96АЧ08001</t>
  </si>
  <si>
    <t>802112О.99.0.ББ11АЧ08001</t>
  </si>
  <si>
    <t>вывоз тверд. коммун. отходов</t>
  </si>
  <si>
    <t>Оценка качества огнезащит. обработки</t>
  </si>
  <si>
    <t>ТО домофона</t>
  </si>
  <si>
    <t>Испытание изоляции электропроводки</t>
  </si>
  <si>
    <t>Поверка средств измерений</t>
  </si>
  <si>
    <t>Сервисное обслуживание оборудования столовой</t>
  </si>
  <si>
    <t>Поминутная оплата</t>
  </si>
  <si>
    <t>Услуги интернета</t>
  </si>
  <si>
    <t>Неисключительные права</t>
  </si>
  <si>
    <t>ТО обслуживание теплосчетчиков</t>
  </si>
  <si>
    <r>
      <t xml:space="preserve">Уникальный номер реестровой записи </t>
    </r>
    <r>
      <rPr>
        <vertAlign val="superscript"/>
        <sz val="8"/>
        <color theme="1"/>
        <rFont val="Times New Roman"/>
        <family val="1"/>
        <charset val="204"/>
      </rPr>
      <t>4</t>
    </r>
  </si>
  <si>
    <r>
      <t xml:space="preserve">(наименование показателя </t>
    </r>
    <r>
      <rPr>
        <vertAlign val="superscript"/>
        <sz val="8"/>
        <color theme="1"/>
        <rFont val="Times New Roman"/>
        <family val="1"/>
        <charset val="204"/>
      </rPr>
      <t>4</t>
    </r>
    <r>
      <rPr>
        <sz val="8"/>
        <color theme="1"/>
        <rFont val="Times New Roman"/>
        <family val="1"/>
        <charset val="204"/>
      </rPr>
      <t>)</t>
    </r>
  </si>
  <si>
    <r>
      <t xml:space="preserve">Наименование показателя </t>
    </r>
    <r>
      <rPr>
        <vertAlign val="superscript"/>
        <sz val="8"/>
        <color theme="1"/>
        <rFont val="Times New Roman"/>
        <family val="1"/>
        <charset val="204"/>
      </rPr>
      <t>4</t>
    </r>
  </si>
  <si>
    <r>
      <t xml:space="preserve">наименование </t>
    </r>
    <r>
      <rPr>
        <vertAlign val="superscript"/>
        <sz val="8"/>
        <color theme="1"/>
        <rFont val="Times New Roman"/>
        <family val="1"/>
        <charset val="204"/>
      </rPr>
      <t>4</t>
    </r>
  </si>
  <si>
    <r>
      <t xml:space="preserve">код по ОКЕИ </t>
    </r>
    <r>
      <rPr>
        <vertAlign val="superscript"/>
        <sz val="8"/>
        <color theme="1"/>
        <rFont val="Times New Roman"/>
        <family val="1"/>
        <charset val="204"/>
      </rPr>
      <t>5</t>
    </r>
  </si>
  <si>
    <t>Доля детей, родителей(законных представителей) удовлетворенных организаций дополнительного образования</t>
  </si>
  <si>
    <t>Х</t>
  </si>
  <si>
    <t xml:space="preserve"> -  доля детей</t>
  </si>
  <si>
    <t>не менее 90%</t>
  </si>
  <si>
    <t xml:space="preserve"> -  доля родителей</t>
  </si>
  <si>
    <t>количество человеко-часов</t>
  </si>
  <si>
    <t>человеко-час</t>
  </si>
  <si>
    <t>Физические лица</t>
  </si>
  <si>
    <t>Олимпиады, конкурсы, сборы, фестивали, конференции</t>
  </si>
  <si>
    <t>В плановой форме</t>
  </si>
  <si>
    <t>Доля проведенных мероприятий от общего числа запланированных</t>
  </si>
  <si>
    <t>12105Z1053</t>
  </si>
  <si>
    <t>БА81</t>
  </si>
  <si>
    <t>БА96</t>
  </si>
  <si>
    <t>ББ11</t>
  </si>
  <si>
    <t>БА82</t>
  </si>
  <si>
    <t>801012О.99.0.БА82АА00001</t>
  </si>
  <si>
    <t>ББ52</t>
  </si>
  <si>
    <t>на 2020 год и на плановый период 2021 и 2022 годы.</t>
  </si>
  <si>
    <r>
      <t xml:space="preserve">Раздел </t>
    </r>
    <r>
      <rPr>
        <u/>
        <sz val="11"/>
        <rFont val="Times New Roman"/>
        <family val="1"/>
        <charset val="204"/>
      </rPr>
      <t xml:space="preserve">         5  .</t>
    </r>
  </si>
  <si>
    <r>
      <t xml:space="preserve">Раздел </t>
    </r>
    <r>
      <rPr>
        <u/>
        <sz val="11"/>
        <rFont val="Times New Roman"/>
        <family val="1"/>
        <charset val="204"/>
      </rPr>
      <t xml:space="preserve">         6  .</t>
    </r>
  </si>
  <si>
    <r>
      <t xml:space="preserve">Раздел </t>
    </r>
    <r>
      <rPr>
        <u/>
        <sz val="11"/>
        <rFont val="Times New Roman"/>
        <family val="1"/>
        <charset val="204"/>
      </rPr>
      <t xml:space="preserve">     7     .</t>
    </r>
  </si>
  <si>
    <t>Директор МБОУ СОШ №</t>
  </si>
  <si>
    <t>Гл.бухгалтер МБОУ СОШ №</t>
  </si>
  <si>
    <t>802111О.99.0.БА96АА00001</t>
  </si>
  <si>
    <t>802112О.99.0.ББ11АА00001</t>
  </si>
  <si>
    <t>адаптиров</t>
  </si>
  <si>
    <t>фок чел/часы</t>
  </si>
  <si>
    <t>курсы 226</t>
  </si>
  <si>
    <t>местные, z1053,71053</t>
  </si>
  <si>
    <t>проверка 2020</t>
  </si>
  <si>
    <t>проверка 2021</t>
  </si>
  <si>
    <t xml:space="preserve">Директор </t>
  </si>
  <si>
    <t xml:space="preserve">Гл.бухгалтер </t>
  </si>
  <si>
    <t>Проверка 2022</t>
  </si>
  <si>
    <t>чел/часы</t>
  </si>
  <si>
    <t>Об утверждении методики формирования муниципального задания и определения базовых нормативных затрат на оказание муниципальных услуг (выполнение работ) в муниципальных учреждениях, функции и полномочия учредителя в отношении которых осуществляет Управление образования города Пензы.</t>
  </si>
  <si>
    <t>О внесении изменений в закон Пензенской области "О наделении органов местного самоуправления Пензенской области отдельными государственными полномочиями Пензенской области и отдельными государственными полномочиями Российской Федерации, переданными для осуществления органамгосударственной власти Пензенской области"</t>
  </si>
  <si>
    <t>3332-ЗПО</t>
  </si>
  <si>
    <t>2020 год (очередной финансовый год)</t>
  </si>
  <si>
    <t>2021 год (1-й год планового периода)</t>
  </si>
  <si>
    <t>2022 год (2-й год планового периода)</t>
  </si>
  <si>
    <t>"  09 "        января        2020 г.</t>
  </si>
  <si>
    <t>основное</t>
  </si>
  <si>
    <t>среднее</t>
  </si>
  <si>
    <t>начальное</t>
  </si>
  <si>
    <t>Вывоз мусора</t>
  </si>
  <si>
    <t>Реализация адаптированных основных общеобразовательных программ основного общего образования</t>
  </si>
  <si>
    <t>отклонение местный</t>
  </si>
  <si>
    <t>отклонение субвенция</t>
  </si>
  <si>
    <t>"Об установлении нормативов финансового обеспечения образовательной деятельности в Пензенской области на 2020 год"</t>
  </si>
  <si>
    <t>3443-ЗПО</t>
  </si>
  <si>
    <t>Реализация адаптированных основных общеобразовательных программ среднего общего образования</t>
  </si>
  <si>
    <t>муниципальное бюджетное общеобразовательное учреждение "Средняя общеобразовательная школа № 43 г. Пензы"</t>
  </si>
  <si>
    <t>МУНИЦИПАЛЬНОЕ ЗАДАНИЕ № 2D345</t>
  </si>
  <si>
    <t>Директор МБОУ СОШ №43</t>
  </si>
  <si>
    <t>С.В.Дубовицкая</t>
  </si>
  <si>
    <t>Гл.бухгалтер МБОУ СОШ №43</t>
  </si>
  <si>
    <t>О.А.Намазова</t>
  </si>
  <si>
    <t>Очистка кровли</t>
  </si>
  <si>
    <t>Классные нужды</t>
  </si>
  <si>
    <t>Физическая охрана ( ЧОП )</t>
  </si>
  <si>
    <t>медали</t>
  </si>
  <si>
    <t>аттестаты</t>
  </si>
  <si>
    <t>строительные материалы</t>
  </si>
  <si>
    <t>Гл.бухгалтер МБОУ  СОШ №43</t>
  </si>
  <si>
    <t>за    1   квартал      2020 года</t>
  </si>
  <si>
    <t>Бюджетные назначения на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</si>
</sst>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0.000000000"/>
    <numFmt numFmtId="166" formatCode="0.00000"/>
    <numFmt numFmtId="167" formatCode="0.000"/>
    <numFmt numFmtId="168" formatCode="0.0"/>
  </numFmts>
  <fonts count="6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u/>
      <sz val="9"/>
      <name val="Times New Roman"/>
      <family val="1"/>
      <charset val="204"/>
    </font>
    <font>
      <sz val="9"/>
      <name val="Arial Cyr"/>
      <charset val="204"/>
    </font>
    <font>
      <u/>
      <sz val="12"/>
      <name val="Verdana"/>
      <family val="2"/>
      <charset val="204"/>
    </font>
    <font>
      <u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Arial Cyr"/>
      <charset val="204"/>
    </font>
    <font>
      <u/>
      <sz val="14"/>
      <name val="Arial Cyr"/>
      <charset val="204"/>
    </font>
    <font>
      <b/>
      <sz val="13"/>
      <name val="Times New Roman"/>
      <family val="1"/>
      <charset val="204"/>
    </font>
    <font>
      <sz val="13"/>
      <name val="Arial Cyr"/>
      <charset val="204"/>
    </font>
    <font>
      <sz val="6"/>
      <name val="Times New Roman"/>
      <family val="1"/>
      <charset val="204"/>
    </font>
    <font>
      <u/>
      <sz val="11"/>
      <name val="Times New Roman"/>
      <family val="1"/>
      <charset val="204"/>
    </font>
    <font>
      <sz val="5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Arial Cyr"/>
      <charset val="204"/>
    </font>
    <font>
      <b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FF0000"/>
      <name val="Arial Cyr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theme="1"/>
      <name val="Arial Cyr"/>
      <charset val="204"/>
    </font>
    <font>
      <sz val="9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color theme="0"/>
      <name val="Arial Cyr"/>
      <charset val="204"/>
    </font>
    <font>
      <sz val="8"/>
      <color theme="1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9"/>
      <color theme="0"/>
      <name val="Arial Cyr"/>
      <charset val="204"/>
    </font>
    <font>
      <u/>
      <sz val="12"/>
      <color theme="0"/>
      <name val="Verdana"/>
      <family val="2"/>
      <charset val="204"/>
    </font>
    <font>
      <b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i/>
      <u/>
      <sz val="10"/>
      <name val="Arial Cyr"/>
      <charset val="204"/>
    </font>
    <font>
      <sz val="7.5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vertAlign val="superscript"/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164" fontId="30" fillId="0" borderId="0" applyFont="0" applyFill="0" applyBorder="0" applyAlignment="0" applyProtection="0"/>
  </cellStyleXfs>
  <cellXfs count="1086">
    <xf numFmtId="0" fontId="0" fillId="0" borderId="0" xfId="0"/>
    <xf numFmtId="0" fontId="3" fillId="0" borderId="1" xfId="0" applyFont="1" applyBorder="1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/>
    <xf numFmtId="0" fontId="3" fillId="0" borderId="0" xfId="0" applyFont="1"/>
    <xf numFmtId="0" fontId="3" fillId="0" borderId="0" xfId="0" applyFont="1" applyBorder="1" applyAlignment="1"/>
    <xf numFmtId="0" fontId="3" fillId="0" borderId="0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/>
    <xf numFmtId="0" fontId="4" fillId="0" borderId="1" xfId="0" applyFont="1" applyBorder="1" applyAlignment="1">
      <alignment wrapText="1"/>
    </xf>
    <xf numFmtId="0" fontId="1" fillId="0" borderId="0" xfId="1" applyFont="1"/>
    <xf numFmtId="0" fontId="1" fillId="0" borderId="0" xfId="1" applyFont="1" applyAlignment="1">
      <alignment wrapText="1"/>
    </xf>
    <xf numFmtId="0" fontId="1" fillId="0" borderId="0" xfId="1" applyFont="1" applyFill="1"/>
    <xf numFmtId="0" fontId="1" fillId="0" borderId="0" xfId="1" applyFont="1" applyProtection="1">
      <protection locked="0"/>
    </xf>
    <xf numFmtId="0" fontId="1" fillId="0" borderId="0" xfId="1" applyFont="1" applyAlignment="1"/>
    <xf numFmtId="0" fontId="1" fillId="0" borderId="0" xfId="1" applyFont="1" applyAlignment="1" applyProtection="1">
      <protection locked="0"/>
    </xf>
    <xf numFmtId="4" fontId="1" fillId="0" borderId="2" xfId="1" applyNumberFormat="1" applyFont="1" applyBorder="1" applyAlignment="1">
      <alignment wrapText="1"/>
    </xf>
    <xf numFmtId="4" fontId="1" fillId="0" borderId="3" xfId="1" applyNumberFormat="1" applyFont="1" applyBorder="1" applyAlignment="1">
      <alignment wrapText="1"/>
    </xf>
    <xf numFmtId="0" fontId="1" fillId="0" borderId="3" xfId="1" applyFont="1" applyBorder="1" applyAlignment="1">
      <alignment wrapText="1"/>
    </xf>
    <xf numFmtId="0" fontId="1" fillId="0" borderId="4" xfId="1" applyFont="1" applyBorder="1" applyAlignment="1">
      <alignment wrapText="1"/>
    </xf>
    <xf numFmtId="0" fontId="1" fillId="0" borderId="1" xfId="1" applyFont="1" applyBorder="1" applyAlignment="1">
      <alignment wrapText="1"/>
    </xf>
    <xf numFmtId="0" fontId="1" fillId="0" borderId="6" xfId="1" applyFont="1" applyBorder="1" applyAlignment="1">
      <alignment wrapText="1"/>
    </xf>
    <xf numFmtId="4" fontId="1" fillId="0" borderId="5" xfId="1" applyNumberFormat="1" applyFont="1" applyBorder="1" applyAlignment="1">
      <alignment wrapText="1"/>
    </xf>
    <xf numFmtId="4" fontId="1" fillId="0" borderId="1" xfId="1" applyNumberFormat="1" applyFont="1" applyBorder="1" applyAlignment="1">
      <alignment wrapText="1"/>
    </xf>
    <xf numFmtId="0" fontId="1" fillId="0" borderId="9" xfId="1" applyFont="1" applyBorder="1" applyAlignment="1">
      <alignment wrapText="1"/>
    </xf>
    <xf numFmtId="0" fontId="1" fillId="0" borderId="2" xfId="1" applyFont="1" applyBorder="1" applyAlignment="1">
      <alignment wrapText="1"/>
    </xf>
    <xf numFmtId="0" fontId="10" fillId="0" borderId="0" xfId="1" applyFont="1" applyBorder="1" applyAlignment="1">
      <alignment horizontal="center" wrapText="1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4" xfId="1" applyFont="1" applyBorder="1"/>
    <xf numFmtId="2" fontId="1" fillId="0" borderId="1" xfId="1" applyNumberFormat="1" applyFont="1" applyBorder="1" applyAlignment="1">
      <alignment wrapText="1"/>
    </xf>
    <xf numFmtId="0" fontId="1" fillId="0" borderId="6" xfId="1" applyFon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4" fontId="1" fillId="0" borderId="0" xfId="1" applyNumberFormat="1" applyFont="1" applyAlignment="1">
      <alignment wrapText="1"/>
    </xf>
    <xf numFmtId="0" fontId="1" fillId="0" borderId="10" xfId="1" applyFont="1" applyBorder="1"/>
    <xf numFmtId="0" fontId="1" fillId="2" borderId="1" xfId="0" applyFont="1" applyFill="1" applyBorder="1"/>
    <xf numFmtId="2" fontId="1" fillId="0" borderId="0" xfId="1" applyNumberFormat="1" applyFont="1"/>
    <xf numFmtId="165" fontId="1" fillId="0" borderId="1" xfId="0" applyNumberFormat="1" applyFont="1" applyBorder="1"/>
    <xf numFmtId="165" fontId="1" fillId="0" borderId="1" xfId="1" applyNumberFormat="1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4" fontId="1" fillId="0" borderId="0" xfId="1" applyNumberFormat="1" applyFont="1" applyBorder="1" applyAlignment="1">
      <alignment wrapText="1"/>
    </xf>
    <xf numFmtId="0" fontId="1" fillId="0" borderId="0" xfId="1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0" fontId="12" fillId="0" borderId="1" xfId="1" applyFont="1" applyBorder="1" applyAlignment="1">
      <alignment wrapText="1"/>
    </xf>
    <xf numFmtId="0" fontId="13" fillId="0" borderId="0" xfId="1" applyFont="1"/>
    <xf numFmtId="0" fontId="13" fillId="0" borderId="0" xfId="1" applyFont="1" applyAlignment="1">
      <alignment wrapText="1"/>
    </xf>
    <xf numFmtId="0" fontId="2" fillId="0" borderId="0" xfId="1" applyFont="1" applyFill="1"/>
    <xf numFmtId="0" fontId="2" fillId="0" borderId="0" xfId="1" applyFont="1"/>
    <xf numFmtId="0" fontId="2" fillId="0" borderId="2" xfId="1" applyFont="1" applyBorder="1"/>
    <xf numFmtId="0" fontId="2" fillId="0" borderId="3" xfId="1" applyFont="1" applyBorder="1"/>
    <xf numFmtId="0" fontId="2" fillId="0" borderId="4" xfId="1" applyFont="1" applyBorder="1"/>
    <xf numFmtId="0" fontId="2" fillId="0" borderId="5" xfId="1" applyFont="1" applyBorder="1"/>
    <xf numFmtId="0" fontId="2" fillId="0" borderId="1" xfId="1" applyFont="1" applyBorder="1"/>
    <xf numFmtId="0" fontId="2" fillId="0" borderId="6" xfId="1" applyFont="1" applyBorder="1"/>
    <xf numFmtId="0" fontId="2" fillId="0" borderId="6" xfId="1" applyFont="1" applyBorder="1" applyAlignment="1">
      <alignment wrapText="1"/>
    </xf>
    <xf numFmtId="0" fontId="2" fillId="0" borderId="13" xfId="1" applyFont="1" applyBorder="1"/>
    <xf numFmtId="0" fontId="2" fillId="0" borderId="14" xfId="1" applyFont="1" applyBorder="1" applyAlignment="1">
      <alignment wrapText="1"/>
    </xf>
    <xf numFmtId="0" fontId="2" fillId="0" borderId="0" xfId="1" applyFont="1" applyAlignment="1">
      <alignment wrapText="1"/>
    </xf>
    <xf numFmtId="0" fontId="2" fillId="0" borderId="4" xfId="1" applyFont="1" applyBorder="1" applyAlignment="1">
      <alignment wrapText="1"/>
    </xf>
    <xf numFmtId="2" fontId="2" fillId="0" borderId="5" xfId="1" applyNumberFormat="1" applyFont="1" applyBorder="1"/>
    <xf numFmtId="0" fontId="2" fillId="0" borderId="0" xfId="1" applyFont="1" applyBorder="1"/>
    <xf numFmtId="0" fontId="2" fillId="0" borderId="0" xfId="1" applyFont="1" applyBorder="1" applyAlignment="1">
      <alignment wrapText="1"/>
    </xf>
    <xf numFmtId="0" fontId="2" fillId="0" borderId="0" xfId="1" applyFont="1" applyBorder="1" applyAlignment="1">
      <alignment horizontal="center"/>
    </xf>
    <xf numFmtId="0" fontId="1" fillId="0" borderId="0" xfId="1" applyFont="1" applyBorder="1"/>
    <xf numFmtId="0" fontId="8" fillId="0" borderId="0" xfId="1"/>
    <xf numFmtId="0" fontId="8" fillId="0" borderId="0" xfId="1" applyFont="1"/>
    <xf numFmtId="0" fontId="8" fillId="0" borderId="0" xfId="1" applyFont="1" applyFill="1"/>
    <xf numFmtId="0" fontId="8" fillId="0" borderId="0" xfId="1" applyProtection="1">
      <protection locked="0"/>
    </xf>
    <xf numFmtId="0" fontId="8" fillId="0" borderId="0" xfId="1" applyFont="1" applyAlignment="1"/>
    <xf numFmtId="0" fontId="8" fillId="0" borderId="2" xfId="1" applyBorder="1"/>
    <xf numFmtId="0" fontId="8" fillId="0" borderId="3" xfId="1" applyBorder="1"/>
    <xf numFmtId="0" fontId="8" fillId="0" borderId="5" xfId="1" applyBorder="1"/>
    <xf numFmtId="0" fontId="8" fillId="0" borderId="1" xfId="1" applyBorder="1"/>
    <xf numFmtId="0" fontId="8" fillId="0" borderId="9" xfId="1" applyBorder="1" applyAlignment="1">
      <alignment wrapText="1"/>
    </xf>
    <xf numFmtId="0" fontId="1" fillId="3" borderId="6" xfId="1" applyFont="1" applyFill="1" applyBorder="1" applyAlignment="1">
      <alignment vertical="top" wrapText="1"/>
    </xf>
    <xf numFmtId="0" fontId="15" fillId="0" borderId="0" xfId="1" applyFont="1" applyAlignment="1">
      <alignment wrapText="1"/>
    </xf>
    <xf numFmtId="0" fontId="8" fillId="0" borderId="0" xfId="1" applyAlignment="1">
      <alignment wrapText="1"/>
    </xf>
    <xf numFmtId="0" fontId="8" fillId="0" borderId="4" xfId="1" applyBorder="1" applyAlignment="1">
      <alignment wrapText="1"/>
    </xf>
    <xf numFmtId="0" fontId="8" fillId="0" borderId="6" xfId="1" applyBorder="1" applyAlignment="1">
      <alignment wrapText="1"/>
    </xf>
    <xf numFmtId="0" fontId="8" fillId="0" borderId="0" xfId="1" applyBorder="1" applyAlignment="1">
      <alignment horizontal="center"/>
    </xf>
    <xf numFmtId="0" fontId="8" fillId="0" borderId="0" xfId="1" applyBorder="1"/>
    <xf numFmtId="4" fontId="8" fillId="0" borderId="0" xfId="1" applyNumberFormat="1"/>
    <xf numFmtId="0" fontId="8" fillId="0" borderId="3" xfId="1" applyBorder="1" applyAlignment="1">
      <alignment horizontal="center"/>
    </xf>
    <xf numFmtId="0" fontId="8" fillId="0" borderId="6" xfId="1" applyBorder="1"/>
    <xf numFmtId="0" fontId="8" fillId="0" borderId="0" xfId="1" applyFont="1" applyAlignment="1">
      <alignment wrapText="1"/>
    </xf>
    <xf numFmtId="4" fontId="8" fillId="0" borderId="0" xfId="1" applyNumberFormat="1" applyFont="1"/>
    <xf numFmtId="4" fontId="8" fillId="0" borderId="0" xfId="1" applyNumberFormat="1" applyFont="1" applyAlignment="1">
      <alignment horizontal="center"/>
    </xf>
    <xf numFmtId="0" fontId="8" fillId="5" borderId="0" xfId="1" applyFont="1" applyFill="1"/>
    <xf numFmtId="4" fontId="1" fillId="6" borderId="2" xfId="1" applyNumberFormat="1" applyFont="1" applyFill="1" applyBorder="1" applyAlignment="1">
      <alignment horizontal="center" vertical="top" wrapText="1"/>
    </xf>
    <xf numFmtId="0" fontId="1" fillId="6" borderId="3" xfId="1" applyFont="1" applyFill="1" applyBorder="1" applyAlignment="1">
      <alignment horizontal="center" vertical="top" wrapText="1"/>
    </xf>
    <xf numFmtId="2" fontId="4" fillId="6" borderId="3" xfId="1" applyNumberFormat="1" applyFont="1" applyFill="1" applyBorder="1" applyAlignment="1">
      <alignment horizontal="center" vertical="top" wrapText="1"/>
    </xf>
    <xf numFmtId="10" fontId="1" fillId="6" borderId="3" xfId="1" applyNumberFormat="1" applyFont="1" applyFill="1" applyBorder="1" applyAlignment="1">
      <alignment horizontal="center" vertical="top" wrapText="1"/>
    </xf>
    <xf numFmtId="0" fontId="1" fillId="6" borderId="4" xfId="1" applyFont="1" applyFill="1" applyBorder="1" applyAlignment="1">
      <alignment vertical="top" wrapText="1"/>
    </xf>
    <xf numFmtId="4" fontId="1" fillId="0" borderId="5" xfId="1" applyNumberFormat="1" applyFont="1" applyBorder="1" applyAlignment="1">
      <alignment horizontal="center" vertical="top" wrapText="1"/>
    </xf>
    <xf numFmtId="0" fontId="1" fillId="0" borderId="1" xfId="1" applyFont="1" applyBorder="1" applyAlignment="1">
      <alignment horizontal="center" vertical="top" wrapText="1"/>
    </xf>
    <xf numFmtId="2" fontId="1" fillId="0" borderId="1" xfId="1" applyNumberFormat="1" applyFont="1" applyBorder="1" applyAlignment="1">
      <alignment horizontal="center" vertical="top" wrapText="1"/>
    </xf>
    <xf numFmtId="10" fontId="1" fillId="0" borderId="1" xfId="1" applyNumberFormat="1" applyFont="1" applyBorder="1" applyAlignment="1">
      <alignment horizontal="center" vertical="top" wrapText="1"/>
    </xf>
    <xf numFmtId="0" fontId="1" fillId="0" borderId="6" xfId="1" applyFont="1" applyBorder="1" applyAlignment="1">
      <alignment vertical="top" wrapText="1"/>
    </xf>
    <xf numFmtId="4" fontId="1" fillId="0" borderId="7" xfId="1" applyNumberFormat="1" applyFont="1" applyBorder="1" applyAlignment="1">
      <alignment horizontal="center" vertical="top" wrapText="1"/>
    </xf>
    <xf numFmtId="0" fontId="1" fillId="0" borderId="8" xfId="1" applyFont="1" applyBorder="1" applyAlignment="1">
      <alignment horizontal="center" vertical="top" wrapText="1"/>
    </xf>
    <xf numFmtId="2" fontId="1" fillId="0" borderId="8" xfId="1" applyNumberFormat="1" applyFont="1" applyBorder="1" applyAlignment="1">
      <alignment horizontal="center" vertical="top" wrapText="1"/>
    </xf>
    <xf numFmtId="10" fontId="1" fillId="0" borderId="8" xfId="1" applyNumberFormat="1" applyFont="1" applyBorder="1" applyAlignment="1">
      <alignment horizontal="center" vertical="top" wrapText="1"/>
    </xf>
    <xf numFmtId="0" fontId="1" fillId="0" borderId="9" xfId="1" applyFont="1" applyBorder="1" applyAlignment="1">
      <alignment vertical="top" wrapText="1"/>
    </xf>
    <xf numFmtId="0" fontId="8" fillId="7" borderId="0" xfId="1" applyFont="1" applyFill="1"/>
    <xf numFmtId="4" fontId="1" fillId="7" borderId="16" xfId="1" applyNumberFormat="1" applyFont="1" applyFill="1" applyBorder="1" applyAlignment="1">
      <alignment horizontal="center" vertical="top" wrapText="1"/>
    </xf>
    <xf numFmtId="0" fontId="1" fillId="7" borderId="17" xfId="1" applyFont="1" applyFill="1" applyBorder="1" applyAlignment="1">
      <alignment vertical="top" wrapText="1"/>
    </xf>
    <xf numFmtId="4" fontId="1" fillId="7" borderId="17" xfId="1" applyNumberFormat="1" applyFont="1" applyFill="1" applyBorder="1" applyAlignment="1">
      <alignment horizontal="center" vertical="top" wrapText="1"/>
    </xf>
    <xf numFmtId="0" fontId="1" fillId="7" borderId="18" xfId="1" applyFont="1" applyFill="1" applyBorder="1" applyAlignment="1">
      <alignment vertical="top" wrapText="1"/>
    </xf>
    <xf numFmtId="0" fontId="8" fillId="3" borderId="0" xfId="1" applyFont="1" applyFill="1"/>
    <xf numFmtId="4" fontId="1" fillId="5" borderId="2" xfId="1" applyNumberFormat="1" applyFont="1" applyFill="1" applyBorder="1" applyAlignment="1">
      <alignment horizontal="center" vertical="top" wrapText="1"/>
    </xf>
    <xf numFmtId="0" fontId="1" fillId="5" borderId="3" xfId="1" applyFont="1" applyFill="1" applyBorder="1" applyAlignment="1">
      <alignment vertical="top" wrapText="1"/>
    </xf>
    <xf numFmtId="0" fontId="1" fillId="5" borderId="3" xfId="1" applyFont="1" applyFill="1" applyBorder="1" applyAlignment="1">
      <alignment horizontal="center" vertical="top" wrapText="1"/>
    </xf>
    <xf numFmtId="0" fontId="1" fillId="5" borderId="4" xfId="1" applyFont="1" applyFill="1" applyBorder="1" applyAlignment="1">
      <alignment vertical="top" wrapText="1"/>
    </xf>
    <xf numFmtId="0" fontId="8" fillId="2" borderId="0" xfId="1" applyFont="1" applyFill="1"/>
    <xf numFmtId="4" fontId="1" fillId="2" borderId="11" xfId="1" applyNumberFormat="1" applyFont="1" applyFill="1" applyBorder="1" applyAlignment="1">
      <alignment horizontal="center" vertical="top" wrapText="1"/>
    </xf>
    <xf numFmtId="0" fontId="1" fillId="2" borderId="11" xfId="1" applyFont="1" applyFill="1" applyBorder="1" applyAlignment="1">
      <alignment vertical="top" wrapText="1"/>
    </xf>
    <xf numFmtId="4" fontId="1" fillId="3" borderId="2" xfId="1" applyNumberFormat="1" applyFont="1" applyFill="1" applyBorder="1" applyAlignment="1">
      <alignment horizontal="center" vertical="top" wrapText="1"/>
    </xf>
    <xf numFmtId="0" fontId="1" fillId="3" borderId="3" xfId="1" applyFont="1" applyFill="1" applyBorder="1" applyAlignment="1">
      <alignment vertical="top" wrapText="1"/>
    </xf>
    <xf numFmtId="0" fontId="1" fillId="0" borderId="19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3" borderId="4" xfId="1" applyFont="1" applyFill="1" applyBorder="1" applyAlignment="1">
      <alignment vertical="top" wrapText="1"/>
    </xf>
    <xf numFmtId="4" fontId="1" fillId="3" borderId="7" xfId="1" applyNumberFormat="1" applyFont="1" applyFill="1" applyBorder="1" applyAlignment="1">
      <alignment horizontal="center" vertical="top" wrapText="1"/>
    </xf>
    <xf numFmtId="0" fontId="1" fillId="3" borderId="8" xfId="1" applyFont="1" applyFill="1" applyBorder="1" applyAlignment="1">
      <alignment vertical="top" wrapText="1"/>
    </xf>
    <xf numFmtId="0" fontId="1" fillId="3" borderId="9" xfId="1" applyFont="1" applyFill="1" applyBorder="1" applyAlignment="1">
      <alignment vertical="top" wrapText="1"/>
    </xf>
    <xf numFmtId="4" fontId="1" fillId="2" borderId="2" xfId="1" applyNumberFormat="1" applyFont="1" applyFill="1" applyBorder="1" applyAlignment="1">
      <alignment horizontal="center" vertical="top" wrapText="1"/>
    </xf>
    <xf numFmtId="0" fontId="1" fillId="2" borderId="3" xfId="1" applyFont="1" applyFill="1" applyBorder="1" applyAlignment="1">
      <alignment vertical="top" wrapText="1"/>
    </xf>
    <xf numFmtId="0" fontId="1" fillId="2" borderId="4" xfId="1" applyFont="1" applyFill="1" applyBorder="1" applyAlignment="1">
      <alignment vertical="top" wrapText="1"/>
    </xf>
    <xf numFmtId="4" fontId="1" fillId="3" borderId="5" xfId="1" applyNumberFormat="1" applyFont="1" applyFill="1" applyBorder="1" applyAlignment="1">
      <alignment horizontal="center" vertical="top" wrapText="1"/>
    </xf>
    <xf numFmtId="0" fontId="1" fillId="3" borderId="1" xfId="1" applyFont="1" applyFill="1" applyBorder="1" applyAlignment="1">
      <alignment vertical="top" wrapText="1"/>
    </xf>
    <xf numFmtId="0" fontId="1" fillId="3" borderId="1" xfId="1" applyFont="1" applyFill="1" applyBorder="1" applyAlignment="1">
      <alignment horizontal="center" vertical="top" wrapText="1"/>
    </xf>
    <xf numFmtId="0" fontId="1" fillId="0" borderId="11" xfId="1" applyFont="1" applyBorder="1" applyAlignment="1">
      <alignment horizontal="center" vertical="top" wrapText="1"/>
    </xf>
    <xf numFmtId="0" fontId="1" fillId="3" borderId="8" xfId="1" applyFont="1" applyFill="1" applyBorder="1" applyAlignment="1">
      <alignment horizontal="center" vertical="top" wrapText="1"/>
    </xf>
    <xf numFmtId="0" fontId="8" fillId="8" borderId="0" xfId="1" applyFont="1" applyFill="1"/>
    <xf numFmtId="0" fontId="1" fillId="8" borderId="2" xfId="1" applyFont="1" applyFill="1" applyBorder="1" applyAlignment="1">
      <alignment horizontal="center" vertical="top" wrapText="1"/>
    </xf>
    <xf numFmtId="0" fontId="1" fillId="8" borderId="3" xfId="1" applyFont="1" applyFill="1" applyBorder="1" applyAlignment="1">
      <alignment vertical="top" wrapText="1"/>
    </xf>
    <xf numFmtId="0" fontId="1" fillId="8" borderId="4" xfId="1" applyFont="1" applyFill="1" applyBorder="1" applyAlignment="1">
      <alignment vertical="top" wrapText="1"/>
    </xf>
    <xf numFmtId="0" fontId="1" fillId="0" borderId="12" xfId="1" applyFont="1" applyBorder="1" applyAlignment="1">
      <alignment horizontal="center" vertical="top" wrapText="1"/>
    </xf>
    <xf numFmtId="0" fontId="1" fillId="0" borderId="13" xfId="1" applyFont="1" applyBorder="1" applyAlignment="1">
      <alignment vertical="top" wrapText="1"/>
    </xf>
    <xf numFmtId="0" fontId="1" fillId="0" borderId="14" xfId="1" applyFont="1" applyBorder="1" applyAlignment="1">
      <alignment vertical="top" wrapText="1"/>
    </xf>
    <xf numFmtId="0" fontId="1" fillId="0" borderId="5" xfId="1" applyFont="1" applyBorder="1" applyAlignment="1">
      <alignment horizontal="center" vertical="top" wrapText="1"/>
    </xf>
    <xf numFmtId="0" fontId="1" fillId="0" borderId="1" xfId="1" applyFont="1" applyBorder="1" applyAlignment="1">
      <alignment vertical="top" wrapText="1"/>
    </xf>
    <xf numFmtId="0" fontId="1" fillId="0" borderId="7" xfId="1" applyFont="1" applyBorder="1" applyAlignment="1">
      <alignment horizontal="center" vertical="top" wrapText="1"/>
    </xf>
    <xf numFmtId="0" fontId="1" fillId="0" borderId="8" xfId="1" applyFont="1" applyBorder="1" applyAlignment="1">
      <alignment vertical="top" wrapText="1"/>
    </xf>
    <xf numFmtId="0" fontId="1" fillId="2" borderId="2" xfId="1" applyFont="1" applyFill="1" applyBorder="1" applyAlignment="1">
      <alignment horizontal="center" vertical="top" wrapText="1"/>
    </xf>
    <xf numFmtId="0" fontId="1" fillId="2" borderId="3" xfId="1" applyFont="1" applyFill="1" applyBorder="1" applyAlignment="1">
      <alignment horizontal="center" vertical="top" wrapText="1"/>
    </xf>
    <xf numFmtId="0" fontId="1" fillId="0" borderId="13" xfId="1" applyFont="1" applyBorder="1" applyAlignment="1">
      <alignment horizontal="center" vertical="top" wrapText="1"/>
    </xf>
    <xf numFmtId="0" fontId="4" fillId="2" borderId="4" xfId="1" applyFont="1" applyFill="1" applyBorder="1" applyAlignment="1">
      <alignment vertical="top" wrapText="1"/>
    </xf>
    <xf numFmtId="0" fontId="4" fillId="0" borderId="6" xfId="1" applyFont="1" applyBorder="1" applyAlignment="1">
      <alignment vertical="top" wrapText="1"/>
    </xf>
    <xf numFmtId="0" fontId="4" fillId="0" borderId="10" xfId="1" applyFont="1" applyBorder="1" applyAlignment="1">
      <alignment vertical="top" wrapText="1"/>
    </xf>
    <xf numFmtId="0" fontId="4" fillId="0" borderId="9" xfId="1" applyFont="1" applyBorder="1" applyAlignment="1">
      <alignment vertical="top" wrapText="1"/>
    </xf>
    <xf numFmtId="4" fontId="1" fillId="2" borderId="3" xfId="1" applyNumberFormat="1" applyFont="1" applyFill="1" applyBorder="1" applyAlignment="1">
      <alignment horizontal="center" vertical="top" wrapText="1"/>
    </xf>
    <xf numFmtId="0" fontId="4" fillId="2" borderId="4" xfId="1" applyFont="1" applyFill="1" applyBorder="1" applyAlignment="1">
      <alignment wrapText="1"/>
    </xf>
    <xf numFmtId="0" fontId="4" fillId="0" borderId="6" xfId="1" applyFont="1" applyBorder="1" applyAlignment="1">
      <alignment wrapText="1"/>
    </xf>
    <xf numFmtId="4" fontId="1" fillId="0" borderId="20" xfId="1" applyNumberFormat="1" applyFont="1" applyBorder="1" applyAlignment="1">
      <alignment horizontal="center" vertical="top" wrapText="1"/>
    </xf>
    <xf numFmtId="0" fontId="1" fillId="0" borderId="21" xfId="1" applyFont="1" applyBorder="1" applyAlignment="1">
      <alignment horizontal="center" vertical="top" wrapText="1"/>
    </xf>
    <xf numFmtId="0" fontId="13" fillId="0" borderId="1" xfId="1" applyFont="1" applyBorder="1" applyAlignment="1">
      <alignment horizontal="center" wrapText="1"/>
    </xf>
    <xf numFmtId="0" fontId="13" fillId="9" borderId="1" xfId="1" applyFont="1" applyFill="1" applyBorder="1" applyAlignment="1" applyProtection="1">
      <alignment horizontal="center" wrapText="1"/>
      <protection locked="0"/>
    </xf>
    <xf numFmtId="0" fontId="1" fillId="0" borderId="1" xfId="1" applyFont="1" applyBorder="1" applyAlignment="1">
      <alignment horizontal="center" wrapText="1"/>
    </xf>
    <xf numFmtId="0" fontId="19" fillId="0" borderId="0" xfId="1" applyFont="1" applyAlignment="1">
      <alignment vertical="center" wrapText="1"/>
    </xf>
    <xf numFmtId="4" fontId="8" fillId="0" borderId="1" xfId="1" applyNumberFormat="1" applyBorder="1"/>
    <xf numFmtId="4" fontId="8" fillId="9" borderId="1" xfId="1" applyNumberFormat="1" applyFill="1" applyBorder="1" applyProtection="1">
      <protection locked="0"/>
    </xf>
    <xf numFmtId="0" fontId="21" fillId="0" borderId="0" xfId="1" applyFont="1"/>
    <xf numFmtId="0" fontId="21" fillId="0" borderId="0" xfId="1" applyFont="1" applyProtection="1">
      <protection locked="0"/>
    </xf>
    <xf numFmtId="4" fontId="21" fillId="0" borderId="0" xfId="1" applyNumberFormat="1" applyFont="1" applyProtection="1">
      <protection locked="0"/>
    </xf>
    <xf numFmtId="4" fontId="8" fillId="0" borderId="1" xfId="1" applyNumberFormat="1" applyFont="1" applyBorder="1"/>
    <xf numFmtId="4" fontId="8" fillId="9" borderId="1" xfId="1" applyNumberFormat="1" applyFont="1" applyFill="1" applyBorder="1" applyProtection="1">
      <protection locked="0"/>
    </xf>
    <xf numFmtId="49" fontId="21" fillId="0" borderId="1" xfId="1" applyNumberFormat="1" applyFont="1" applyBorder="1" applyAlignment="1">
      <alignment horizontal="right"/>
    </xf>
    <xf numFmtId="0" fontId="21" fillId="0" borderId="1" xfId="1" applyFont="1" applyBorder="1"/>
    <xf numFmtId="4" fontId="21" fillId="0" borderId="1" xfId="1" applyNumberFormat="1" applyFont="1" applyBorder="1"/>
    <xf numFmtId="4" fontId="8" fillId="0" borderId="0" xfId="1" applyNumberFormat="1" applyFont="1" applyFill="1"/>
    <xf numFmtId="0" fontId="8" fillId="0" borderId="1" xfId="1" applyFont="1" applyFill="1" applyBorder="1"/>
    <xf numFmtId="4" fontId="8" fillId="10" borderId="1" xfId="1" applyNumberFormat="1" applyFont="1" applyFill="1" applyBorder="1" applyProtection="1">
      <protection locked="0"/>
    </xf>
    <xf numFmtId="4" fontId="21" fillId="0" borderId="0" xfId="1" applyNumberFormat="1" applyFont="1"/>
    <xf numFmtId="0" fontId="8" fillId="11" borderId="1" xfId="1" applyFont="1" applyFill="1" applyBorder="1"/>
    <xf numFmtId="4" fontId="8" fillId="0" borderId="1" xfId="1" applyNumberFormat="1" applyFont="1" applyFill="1" applyBorder="1" applyProtection="1">
      <protection locked="0"/>
    </xf>
    <xf numFmtId="0" fontId="8" fillId="0" borderId="0" xfId="1" applyFont="1" applyFill="1" applyAlignment="1">
      <alignment horizontal="center"/>
    </xf>
    <xf numFmtId="0" fontId="1" fillId="0" borderId="3" xfId="1" applyFont="1" applyFill="1" applyBorder="1" applyAlignment="1">
      <alignment wrapText="1"/>
    </xf>
    <xf numFmtId="0" fontId="8" fillId="0" borderId="1" xfId="1" applyFont="1" applyFill="1" applyBorder="1" applyAlignment="1">
      <alignment horizontal="center"/>
    </xf>
    <xf numFmtId="4" fontId="1" fillId="0" borderId="8" xfId="1" applyNumberFormat="1" applyFont="1" applyBorder="1" applyAlignment="1">
      <alignment horizontal="center" vertical="top" wrapText="1"/>
    </xf>
    <xf numFmtId="4" fontId="1" fillId="0" borderId="11" xfId="1" applyNumberFormat="1" applyFont="1" applyBorder="1" applyAlignment="1">
      <alignment horizontal="center" vertical="top" wrapText="1"/>
    </xf>
    <xf numFmtId="4" fontId="1" fillId="0" borderId="1" xfId="1" applyNumberFormat="1" applyFont="1" applyBorder="1" applyAlignment="1">
      <alignment horizontal="center" vertical="top" wrapText="1"/>
    </xf>
    <xf numFmtId="0" fontId="8" fillId="0" borderId="5" xfId="1" applyFont="1" applyFill="1" applyBorder="1" applyAlignment="1">
      <alignment horizontal="center"/>
    </xf>
    <xf numFmtId="0" fontId="23" fillId="0" borderId="18" xfId="1" applyFont="1" applyFill="1" applyBorder="1" applyAlignment="1">
      <alignment vertical="top" wrapText="1"/>
    </xf>
    <xf numFmtId="0" fontId="24" fillId="0" borderId="17" xfId="1" applyFont="1" applyBorder="1"/>
    <xf numFmtId="0" fontId="1" fillId="0" borderId="26" xfId="0" applyFont="1" applyBorder="1"/>
    <xf numFmtId="0" fontId="1" fillId="0" borderId="0" xfId="0" applyFont="1"/>
    <xf numFmtId="0" fontId="4" fillId="0" borderId="0" xfId="0" applyFont="1"/>
    <xf numFmtId="0" fontId="29" fillId="0" borderId="1" xfId="0" applyFont="1" applyBorder="1"/>
    <xf numFmtId="0" fontId="5" fillId="0" borderId="1" xfId="0" applyFont="1" applyFill="1" applyBorder="1"/>
    <xf numFmtId="0" fontId="4" fillId="0" borderId="27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4" fillId="0" borderId="28" xfId="0" applyFont="1" applyBorder="1" applyAlignment="1"/>
    <xf numFmtId="0" fontId="4" fillId="0" borderId="15" xfId="0" applyFont="1" applyBorder="1" applyAlignment="1"/>
    <xf numFmtId="0" fontId="3" fillId="0" borderId="28" xfId="0" applyFont="1" applyBorder="1" applyAlignment="1"/>
    <xf numFmtId="0" fontId="3" fillId="0" borderId="15" xfId="0" applyFont="1" applyBorder="1" applyAlignment="1"/>
    <xf numFmtId="14" fontId="4" fillId="0" borderId="1" xfId="0" applyNumberFormat="1" applyFont="1" applyBorder="1"/>
    <xf numFmtId="0" fontId="27" fillId="0" borderId="0" xfId="0" applyFont="1"/>
    <xf numFmtId="0" fontId="27" fillId="0" borderId="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3" fillId="0" borderId="0" xfId="1" applyFont="1" applyAlignment="1">
      <alignment horizontal="center" vertical="center" wrapText="1"/>
    </xf>
    <xf numFmtId="2" fontId="2" fillId="11" borderId="5" xfId="1" applyNumberFormat="1" applyFont="1" applyFill="1" applyBorder="1"/>
    <xf numFmtId="0" fontId="2" fillId="0" borderId="6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4" fillId="0" borderId="18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25" fillId="0" borderId="1" xfId="1" applyFont="1" applyFill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top" wrapText="1"/>
    </xf>
    <xf numFmtId="0" fontId="8" fillId="0" borderId="25" xfId="1" applyFont="1" applyBorder="1" applyAlignment="1"/>
    <xf numFmtId="0" fontId="8" fillId="0" borderId="25" xfId="1" applyFont="1" applyBorder="1"/>
    <xf numFmtId="0" fontId="8" fillId="0" borderId="9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164" fontId="21" fillId="0" borderId="0" xfId="2" applyFont="1"/>
    <xf numFmtId="0" fontId="8" fillId="0" borderId="9" xfId="1" applyBorder="1" applyAlignment="1">
      <alignment horizontal="center" vertical="center" wrapText="1"/>
    </xf>
    <xf numFmtId="0" fontId="8" fillId="0" borderId="8" xfId="1" applyBorder="1" applyAlignment="1">
      <alignment horizontal="center" vertical="center" wrapText="1"/>
    </xf>
    <xf numFmtId="0" fontId="8" fillId="0" borderId="7" xfId="1" applyBorder="1" applyAlignment="1">
      <alignment horizontal="center" vertical="center" wrapText="1"/>
    </xf>
    <xf numFmtId="0" fontId="15" fillId="0" borderId="9" xfId="1" applyFont="1" applyBorder="1" applyAlignment="1">
      <alignment horizontal="center" vertical="center" wrapText="1"/>
    </xf>
    <xf numFmtId="2" fontId="8" fillId="0" borderId="1" xfId="1" applyNumberFormat="1" applyBorder="1"/>
    <xf numFmtId="0" fontId="1" fillId="0" borderId="9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 wrapText="1"/>
    </xf>
    <xf numFmtId="0" fontId="2" fillId="0" borderId="5" xfId="1" applyFont="1" applyFill="1" applyBorder="1"/>
    <xf numFmtId="0" fontId="2" fillId="0" borderId="9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1" fillId="0" borderId="10" xfId="1" applyFont="1" applyBorder="1" applyAlignment="1">
      <alignment wrapText="1"/>
    </xf>
    <xf numFmtId="4" fontId="12" fillId="0" borderId="17" xfId="1" applyNumberFormat="1" applyFont="1" applyBorder="1" applyAlignment="1">
      <alignment horizontal="center"/>
    </xf>
    <xf numFmtId="0" fontId="12" fillId="0" borderId="17" xfId="1" applyFont="1" applyBorder="1"/>
    <xf numFmtId="4" fontId="12" fillId="0" borderId="16" xfId="1" applyNumberFormat="1" applyFont="1" applyBorder="1" applyAlignment="1">
      <alignment horizontal="center"/>
    </xf>
    <xf numFmtId="4" fontId="1" fillId="0" borderId="7" xfId="1" applyNumberFormat="1" applyFont="1" applyBorder="1" applyAlignment="1">
      <alignment horizontal="center" vertical="top"/>
    </xf>
    <xf numFmtId="4" fontId="1" fillId="0" borderId="5" xfId="1" applyNumberFormat="1" applyFont="1" applyBorder="1" applyAlignment="1">
      <alignment horizontal="center" vertical="top"/>
    </xf>
    <xf numFmtId="0" fontId="1" fillId="0" borderId="1" xfId="1" applyFont="1" applyBorder="1" applyAlignment="1">
      <alignment horizontal="center" vertical="top" wrapText="1"/>
    </xf>
    <xf numFmtId="0" fontId="1" fillId="0" borderId="1" xfId="1" applyFont="1" applyBorder="1" applyAlignment="1">
      <alignment wrapText="1"/>
    </xf>
    <xf numFmtId="0" fontId="1" fillId="0" borderId="3" xfId="1" applyFont="1" applyBorder="1" applyAlignment="1">
      <alignment wrapText="1"/>
    </xf>
    <xf numFmtId="4" fontId="1" fillId="0" borderId="0" xfId="0" applyNumberFormat="1" applyFont="1" applyBorder="1"/>
    <xf numFmtId="0" fontId="2" fillId="0" borderId="45" xfId="1" applyFont="1" applyBorder="1" applyAlignment="1">
      <alignment wrapText="1"/>
    </xf>
    <xf numFmtId="0" fontId="2" fillId="0" borderId="19" xfId="1" applyFont="1" applyBorder="1"/>
    <xf numFmtId="0" fontId="2" fillId="0" borderId="46" xfId="1" applyFont="1" applyBorder="1"/>
    <xf numFmtId="2" fontId="2" fillId="0" borderId="2" xfId="1" applyNumberFormat="1" applyFont="1" applyBorder="1"/>
    <xf numFmtId="0" fontId="8" fillId="0" borderId="4" xfId="1" applyBorder="1"/>
    <xf numFmtId="0" fontId="8" fillId="0" borderId="14" xfId="1" applyBorder="1"/>
    <xf numFmtId="0" fontId="0" fillId="0" borderId="0" xfId="0" applyAlignment="1">
      <alignment wrapText="1"/>
    </xf>
    <xf numFmtId="0" fontId="34" fillId="0" borderId="1" xfId="0" applyFont="1" applyBorder="1" applyAlignment="1">
      <alignment wrapText="1"/>
    </xf>
    <xf numFmtId="0" fontId="34" fillId="12" borderId="1" xfId="0" applyFont="1" applyFill="1" applyBorder="1" applyAlignment="1">
      <alignment horizontal="center"/>
    </xf>
    <xf numFmtId="0" fontId="34" fillId="12" borderId="1" xfId="0" applyFont="1" applyFill="1" applyBorder="1" applyAlignment="1">
      <alignment wrapText="1"/>
    </xf>
    <xf numFmtId="4" fontId="34" fillId="12" borderId="1" xfId="0" applyNumberFormat="1" applyFont="1" applyFill="1" applyBorder="1" applyAlignment="1">
      <alignment horizontal="center"/>
    </xf>
    <xf numFmtId="4" fontId="35" fillId="12" borderId="1" xfId="0" applyNumberFormat="1" applyFont="1" applyFill="1" applyBorder="1" applyAlignment="1">
      <alignment horizontal="center" wrapText="1"/>
    </xf>
    <xf numFmtId="0" fontId="34" fillId="0" borderId="1" xfId="0" applyFont="1" applyBorder="1" applyAlignment="1">
      <alignment horizontal="center"/>
    </xf>
    <xf numFmtId="4" fontId="34" fillId="0" borderId="1" xfId="0" applyNumberFormat="1" applyFont="1" applyBorder="1" applyAlignment="1">
      <alignment horizontal="center"/>
    </xf>
    <xf numFmtId="4" fontId="34" fillId="0" borderId="1" xfId="0" applyNumberFormat="1" applyFont="1" applyBorder="1" applyAlignment="1">
      <alignment horizontal="center" wrapText="1"/>
    </xf>
    <xf numFmtId="4" fontId="0" fillId="0" borderId="1" xfId="0" applyNumberFormat="1" applyBorder="1" applyAlignment="1">
      <alignment wrapText="1"/>
    </xf>
    <xf numFmtId="0" fontId="34" fillId="0" borderId="0" xfId="0" applyFont="1"/>
    <xf numFmtId="0" fontId="1" fillId="2" borderId="0" xfId="1" applyFont="1" applyFill="1" applyBorder="1" applyAlignment="1">
      <alignment horizontal="center" vertical="top" wrapText="1"/>
    </xf>
    <xf numFmtId="0" fontId="1" fillId="0" borderId="0" xfId="1" applyFont="1" applyBorder="1" applyAlignment="1">
      <alignment horizontal="center" vertical="top" wrapText="1"/>
    </xf>
    <xf numFmtId="0" fontId="8" fillId="0" borderId="29" xfId="1" applyFont="1" applyFill="1" applyBorder="1" applyAlignment="1"/>
    <xf numFmtId="4" fontId="36" fillId="0" borderId="0" xfId="1" applyNumberFormat="1" applyFont="1" applyFill="1"/>
    <xf numFmtId="0" fontId="36" fillId="0" borderId="0" xfId="1" applyFont="1" applyFill="1"/>
    <xf numFmtId="0" fontId="1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8" fillId="0" borderId="0" xfId="1" applyAlignment="1">
      <alignment horizontal="center"/>
    </xf>
    <xf numFmtId="0" fontId="37" fillId="0" borderId="5" xfId="1" applyFont="1" applyFill="1" applyBorder="1"/>
    <xf numFmtId="0" fontId="17" fillId="0" borderId="0" xfId="1" applyFont="1" applyAlignment="1">
      <alignment horizontal="center" wrapText="1"/>
    </xf>
    <xf numFmtId="4" fontId="1" fillId="0" borderId="5" xfId="1" applyNumberFormat="1" applyFont="1" applyBorder="1" applyAlignment="1">
      <alignment horizontal="center"/>
    </xf>
    <xf numFmtId="4" fontId="1" fillId="0" borderId="0" xfId="1" applyNumberFormat="1" applyFont="1" applyBorder="1" applyAlignment="1">
      <alignment horizontal="center"/>
    </xf>
    <xf numFmtId="4" fontId="1" fillId="0" borderId="0" xfId="1" applyNumberFormat="1" applyFont="1"/>
    <xf numFmtId="0" fontId="1" fillId="0" borderId="1" xfId="1" applyFont="1" applyBorder="1" applyAlignment="1">
      <alignment horizontal="center"/>
    </xf>
    <xf numFmtId="164" fontId="15" fillId="0" borderId="1" xfId="2" applyFont="1" applyBorder="1" applyAlignment="1" applyProtection="1">
      <alignment horizontal="center" vertical="center"/>
      <protection locked="0"/>
    </xf>
    <xf numFmtId="10" fontId="15" fillId="0" borderId="1" xfId="1" applyNumberFormat="1" applyFont="1" applyBorder="1"/>
    <xf numFmtId="164" fontId="15" fillId="0" borderId="5" xfId="2" applyFont="1" applyBorder="1"/>
    <xf numFmtId="164" fontId="15" fillId="0" borderId="13" xfId="2" applyFont="1" applyBorder="1" applyAlignment="1" applyProtection="1">
      <alignment horizontal="center" vertical="center"/>
      <protection locked="0"/>
    </xf>
    <xf numFmtId="10" fontId="15" fillId="0" borderId="13" xfId="1" applyNumberFormat="1" applyFont="1" applyBorder="1"/>
    <xf numFmtId="164" fontId="15" fillId="0" borderId="3" xfId="2" applyFont="1" applyBorder="1" applyAlignment="1" applyProtection="1">
      <alignment horizontal="center" vertical="center"/>
      <protection locked="0"/>
    </xf>
    <xf numFmtId="2" fontId="15" fillId="0" borderId="3" xfId="1" applyNumberFormat="1" applyFont="1" applyBorder="1" applyAlignment="1">
      <alignment horizontal="right"/>
    </xf>
    <xf numFmtId="164" fontId="15" fillId="0" borderId="2" xfId="2" applyFont="1" applyBorder="1"/>
    <xf numFmtId="0" fontId="1" fillId="0" borderId="29" xfId="0" applyFont="1" applyBorder="1" applyAlignment="1">
      <alignment horizontal="center"/>
    </xf>
    <xf numFmtId="0" fontId="34" fillId="0" borderId="0" xfId="0" applyFont="1" applyAlignment="1">
      <alignment horizontal="left"/>
    </xf>
    <xf numFmtId="0" fontId="1" fillId="0" borderId="0" xfId="0" applyFont="1" applyAlignment="1">
      <alignment vertical="top"/>
    </xf>
    <xf numFmtId="0" fontId="1" fillId="0" borderId="25" xfId="0" applyFont="1" applyBorder="1" applyAlignment="1">
      <alignment horizontal="center" vertical="top"/>
    </xf>
    <xf numFmtId="4" fontId="1" fillId="0" borderId="1" xfId="1" applyNumberFormat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4" fontId="1" fillId="0" borderId="3" xfId="1" applyNumberFormat="1" applyFont="1" applyBorder="1" applyAlignment="1">
      <alignment horizontal="center"/>
    </xf>
    <xf numFmtId="4" fontId="1" fillId="0" borderId="2" xfId="1" applyNumberFormat="1" applyFont="1" applyBorder="1" applyAlignment="1">
      <alignment horizontal="center"/>
    </xf>
    <xf numFmtId="0" fontId="1" fillId="0" borderId="45" xfId="1" applyFont="1" applyBorder="1" applyAlignment="1">
      <alignment wrapText="1"/>
    </xf>
    <xf numFmtId="0" fontId="1" fillId="0" borderId="47" xfId="1" applyFont="1" applyBorder="1" applyAlignment="1">
      <alignment horizontal="center" wrapText="1"/>
    </xf>
    <xf numFmtId="0" fontId="8" fillId="0" borderId="19" xfId="1" applyBorder="1" applyAlignment="1">
      <alignment horizontal="center"/>
    </xf>
    <xf numFmtId="4" fontId="8" fillId="0" borderId="20" xfId="1" applyNumberFormat="1" applyBorder="1" applyAlignment="1">
      <alignment horizontal="center"/>
    </xf>
    <xf numFmtId="0" fontId="15" fillId="0" borderId="8" xfId="1" applyFont="1" applyBorder="1" applyAlignment="1">
      <alignment horizontal="center" vertical="center" wrapText="1"/>
    </xf>
    <xf numFmtId="0" fontId="8" fillId="4" borderId="3" xfId="1" applyFill="1" applyBorder="1" applyAlignment="1">
      <alignment horizontal="center"/>
    </xf>
    <xf numFmtId="4" fontId="8" fillId="0" borderId="3" xfId="1" applyNumberFormat="1" applyBorder="1" applyAlignment="1">
      <alignment horizontal="center"/>
    </xf>
    <xf numFmtId="0" fontId="25" fillId="0" borderId="1" xfId="0" applyFont="1" applyFill="1" applyBorder="1"/>
    <xf numFmtId="0" fontId="8" fillId="0" borderId="0" xfId="1" applyAlignment="1"/>
    <xf numFmtId="3" fontId="21" fillId="0" borderId="1" xfId="1" applyNumberFormat="1" applyFont="1" applyBorder="1"/>
    <xf numFmtId="0" fontId="4" fillId="0" borderId="9" xfId="1" applyFont="1" applyBorder="1" applyAlignment="1">
      <alignment horizontal="center" vertical="top" wrapText="1"/>
    </xf>
    <xf numFmtId="0" fontId="1" fillId="11" borderId="6" xfId="1" applyFont="1" applyFill="1" applyBorder="1" applyAlignment="1">
      <alignment wrapText="1"/>
    </xf>
    <xf numFmtId="0" fontId="1" fillId="11" borderId="4" xfId="1" applyFont="1" applyFill="1" applyBorder="1" applyAlignment="1">
      <alignment wrapText="1"/>
    </xf>
    <xf numFmtId="2" fontId="1" fillId="0" borderId="0" xfId="1" applyNumberFormat="1" applyFont="1" applyBorder="1" applyAlignment="1">
      <alignment wrapText="1"/>
    </xf>
    <xf numFmtId="4" fontId="1" fillId="0" borderId="1" xfId="1" applyNumberFormat="1" applyFont="1" applyBorder="1" applyAlignment="1">
      <alignment wrapText="1"/>
    </xf>
    <xf numFmtId="0" fontId="1" fillId="0" borderId="1" xfId="1" applyFont="1" applyBorder="1" applyAlignment="1">
      <alignment wrapText="1"/>
    </xf>
    <xf numFmtId="0" fontId="8" fillId="0" borderId="1" xfId="1" applyFill="1" applyBorder="1" applyAlignment="1">
      <alignment horizontal="center"/>
    </xf>
    <xf numFmtId="4" fontId="8" fillId="0" borderId="1" xfId="1" applyNumberFormat="1" applyFill="1" applyBorder="1" applyAlignment="1">
      <alignment horizontal="center"/>
    </xf>
    <xf numFmtId="4" fontId="1" fillId="0" borderId="1" xfId="1" applyNumberFormat="1" applyFont="1" applyFill="1" applyBorder="1" applyAlignment="1">
      <alignment horizontal="center"/>
    </xf>
    <xf numFmtId="4" fontId="1" fillId="0" borderId="5" xfId="1" applyNumberFormat="1" applyFont="1" applyFill="1" applyBorder="1" applyAlignment="1">
      <alignment horizontal="center"/>
    </xf>
    <xf numFmtId="0" fontId="8" fillId="0" borderId="0" xfId="1" applyFill="1"/>
    <xf numFmtId="0" fontId="1" fillId="0" borderId="6" xfId="1" applyFont="1" applyFill="1" applyBorder="1"/>
    <xf numFmtId="0" fontId="1" fillId="0" borderId="1" xfId="1" applyFont="1" applyFill="1" applyBorder="1" applyAlignment="1">
      <alignment horizontal="center"/>
    </xf>
    <xf numFmtId="0" fontId="40" fillId="0" borderId="1" xfId="1" applyFont="1" applyFill="1" applyBorder="1" applyAlignment="1">
      <alignment horizontal="center"/>
    </xf>
    <xf numFmtId="0" fontId="1" fillId="0" borderId="1" xfId="1" applyFont="1" applyBorder="1" applyAlignment="1">
      <alignment wrapText="1"/>
    </xf>
    <xf numFmtId="4" fontId="8" fillId="15" borderId="1" xfId="1" applyNumberFormat="1" applyFill="1" applyBorder="1"/>
    <xf numFmtId="4" fontId="1" fillId="0" borderId="5" xfId="1" applyNumberFormat="1" applyFont="1" applyFill="1" applyBorder="1" applyAlignment="1">
      <alignment horizontal="center" vertical="top" wrapText="1"/>
    </xf>
    <xf numFmtId="4" fontId="40" fillId="0" borderId="1" xfId="1" applyNumberFormat="1" applyFont="1" applyBorder="1"/>
    <xf numFmtId="0" fontId="40" fillId="0" borderId="0" xfId="1" applyFont="1"/>
    <xf numFmtId="0" fontId="41" fillId="0" borderId="0" xfId="1" applyFont="1" applyAlignment="1">
      <alignment wrapText="1"/>
    </xf>
    <xf numFmtId="0" fontId="41" fillId="0" borderId="0" xfId="1" applyFont="1"/>
    <xf numFmtId="0" fontId="44" fillId="0" borderId="9" xfId="1" applyFont="1" applyBorder="1" applyAlignment="1">
      <alignment horizontal="center" vertical="top" wrapText="1"/>
    </xf>
    <xf numFmtId="0" fontId="41" fillId="11" borderId="6" xfId="1" applyFont="1" applyFill="1" applyBorder="1" applyAlignment="1">
      <alignment wrapText="1"/>
    </xf>
    <xf numFmtId="0" fontId="41" fillId="11" borderId="4" xfId="1" applyFont="1" applyFill="1" applyBorder="1" applyAlignment="1">
      <alignment wrapText="1"/>
    </xf>
    <xf numFmtId="2" fontId="1" fillId="0" borderId="0" xfId="0" applyNumberFormat="1" applyFont="1" applyBorder="1"/>
    <xf numFmtId="4" fontId="41" fillId="0" borderId="0" xfId="1" applyNumberFormat="1" applyFont="1" applyAlignment="1">
      <alignment wrapText="1"/>
    </xf>
    <xf numFmtId="0" fontId="1" fillId="11" borderId="5" xfId="1" applyFont="1" applyFill="1" applyBorder="1" applyAlignment="1">
      <alignment horizontal="center" vertical="top" wrapText="1"/>
    </xf>
    <xf numFmtId="4" fontId="41" fillId="0" borderId="5" xfId="1" applyNumberFormat="1" applyFont="1" applyBorder="1" applyAlignment="1">
      <alignment wrapText="1"/>
    </xf>
    <xf numFmtId="0" fontId="2" fillId="0" borderId="12" xfId="1" applyFont="1" applyFill="1" applyBorder="1"/>
    <xf numFmtId="0" fontId="8" fillId="0" borderId="1" xfId="1" applyBorder="1" applyAlignment="1">
      <alignment horizontal="center"/>
    </xf>
    <xf numFmtId="4" fontId="8" fillId="0" borderId="1" xfId="1" applyNumberFormat="1" applyBorder="1" applyAlignment="1">
      <alignment horizontal="center"/>
    </xf>
    <xf numFmtId="0" fontId="8" fillId="4" borderId="1" xfId="1" applyFill="1" applyBorder="1" applyAlignment="1">
      <alignment horizontal="center"/>
    </xf>
    <xf numFmtId="4" fontId="1" fillId="13" borderId="7" xfId="1" applyNumberFormat="1" applyFont="1" applyFill="1" applyBorder="1" applyAlignment="1">
      <alignment horizontal="center" vertical="top" wrapText="1"/>
    </xf>
    <xf numFmtId="4" fontId="1" fillId="13" borderId="5" xfId="1" applyNumberFormat="1" applyFont="1" applyFill="1" applyBorder="1" applyAlignment="1">
      <alignment horizontal="center" vertical="top" wrapText="1"/>
    </xf>
    <xf numFmtId="4" fontId="1" fillId="13" borderId="12" xfId="1" applyNumberFormat="1" applyFont="1" applyFill="1" applyBorder="1" applyAlignment="1">
      <alignment horizontal="center" vertical="top" wrapText="1"/>
    </xf>
    <xf numFmtId="2" fontId="2" fillId="0" borderId="0" xfId="1" applyNumberFormat="1" applyFont="1"/>
    <xf numFmtId="0" fontId="1" fillId="0" borderId="1" xfId="1" applyFont="1" applyBorder="1" applyAlignment="1">
      <alignment wrapText="1"/>
    </xf>
    <xf numFmtId="2" fontId="2" fillId="13" borderId="5" xfId="1" applyNumberFormat="1" applyFont="1" applyFill="1" applyBorder="1"/>
    <xf numFmtId="0" fontId="1" fillId="0" borderId="0" xfId="0" applyFont="1" applyBorder="1" applyAlignment="1">
      <alignment vertical="center" wrapText="1"/>
    </xf>
    <xf numFmtId="0" fontId="3" fillId="13" borderId="0" xfId="0" applyFont="1" applyFill="1"/>
    <xf numFmtId="0" fontId="3" fillId="13" borderId="0" xfId="0" applyFont="1" applyFill="1" applyBorder="1"/>
    <xf numFmtId="0" fontId="40" fillId="0" borderId="1" xfId="1" applyFont="1" applyFill="1" applyBorder="1"/>
    <xf numFmtId="0" fontId="41" fillId="0" borderId="11" xfId="1" applyFont="1" applyBorder="1" applyAlignment="1">
      <alignment horizontal="center" vertical="top" wrapText="1"/>
    </xf>
    <xf numFmtId="0" fontId="38" fillId="0" borderId="11" xfId="1" applyFont="1" applyBorder="1" applyAlignment="1">
      <alignment horizontal="center" vertical="top" wrapText="1"/>
    </xf>
    <xf numFmtId="4" fontId="38" fillId="0" borderId="11" xfId="1" applyNumberFormat="1" applyFont="1" applyBorder="1" applyAlignment="1">
      <alignment horizontal="center" vertical="top" wrapText="1"/>
    </xf>
    <xf numFmtId="4" fontId="45" fillId="0" borderId="1" xfId="1" applyNumberFormat="1" applyFont="1" applyFill="1" applyBorder="1"/>
    <xf numFmtId="0" fontId="45" fillId="0" borderId="1" xfId="1" applyFont="1" applyFill="1" applyBorder="1"/>
    <xf numFmtId="0" fontId="46" fillId="0" borderId="0" xfId="1" applyFont="1" applyAlignment="1">
      <alignment wrapText="1"/>
    </xf>
    <xf numFmtId="0" fontId="47" fillId="0" borderId="0" xfId="1" applyFont="1"/>
    <xf numFmtId="0" fontId="47" fillId="0" borderId="0" xfId="1" applyFont="1" applyAlignment="1">
      <alignment wrapText="1"/>
    </xf>
    <xf numFmtId="4" fontId="47" fillId="0" borderId="0" xfId="1" applyNumberFormat="1" applyFont="1" applyAlignment="1">
      <alignment wrapText="1"/>
    </xf>
    <xf numFmtId="0" fontId="46" fillId="0" borderId="9" xfId="1" applyFont="1" applyBorder="1" applyAlignment="1">
      <alignment horizontal="center" vertical="center" wrapText="1"/>
    </xf>
    <xf numFmtId="0" fontId="46" fillId="0" borderId="8" xfId="1" applyFont="1" applyBorder="1" applyAlignment="1">
      <alignment horizontal="center" vertical="center" wrapText="1"/>
    </xf>
    <xf numFmtId="0" fontId="47" fillId="0" borderId="8" xfId="1" applyFont="1" applyBorder="1" applyAlignment="1">
      <alignment horizontal="center" vertical="center" wrapText="1"/>
    </xf>
    <xf numFmtId="0" fontId="47" fillId="0" borderId="7" xfId="1" applyFont="1" applyBorder="1" applyAlignment="1">
      <alignment horizontal="center" vertical="center" wrapText="1"/>
    </xf>
    <xf numFmtId="0" fontId="47" fillId="0" borderId="6" xfId="1" applyFont="1" applyBorder="1"/>
    <xf numFmtId="0" fontId="47" fillId="0" borderId="1" xfId="1" applyFont="1" applyBorder="1" applyAlignment="1">
      <alignment horizontal="center"/>
    </xf>
    <xf numFmtId="4" fontId="47" fillId="0" borderId="1" xfId="1" applyNumberFormat="1" applyFont="1" applyBorder="1" applyAlignment="1">
      <alignment horizontal="center"/>
    </xf>
    <xf numFmtId="4" fontId="47" fillId="0" borderId="5" xfId="1" applyNumberFormat="1" applyFont="1" applyBorder="1" applyAlignment="1">
      <alignment horizontal="center"/>
    </xf>
    <xf numFmtId="0" fontId="48" fillId="0" borderId="0" xfId="1" applyFont="1"/>
    <xf numFmtId="0" fontId="47" fillId="0" borderId="4" xfId="1" applyFont="1" applyBorder="1"/>
    <xf numFmtId="0" fontId="47" fillId="0" borderId="3" xfId="1" applyFont="1" applyBorder="1" applyAlignment="1">
      <alignment horizontal="center"/>
    </xf>
    <xf numFmtId="4" fontId="47" fillId="0" borderId="3" xfId="1" applyNumberFormat="1" applyFont="1" applyBorder="1" applyAlignment="1">
      <alignment horizontal="center"/>
    </xf>
    <xf numFmtId="4" fontId="47" fillId="0" borderId="2" xfId="1" applyNumberFormat="1" applyFont="1" applyBorder="1" applyAlignment="1">
      <alignment horizontal="center"/>
    </xf>
    <xf numFmtId="0" fontId="10" fillId="0" borderId="0" xfId="1" applyFont="1" applyBorder="1" applyAlignment="1">
      <alignment horizontal="center" wrapText="1"/>
    </xf>
    <xf numFmtId="0" fontId="1" fillId="0" borderId="1" xfId="1" applyFont="1" applyBorder="1" applyAlignment="1">
      <alignment wrapText="1"/>
    </xf>
    <xf numFmtId="0" fontId="1" fillId="0" borderId="5" xfId="1" applyFont="1" applyBorder="1" applyAlignment="1">
      <alignment wrapText="1"/>
    </xf>
    <xf numFmtId="0" fontId="1" fillId="0" borderId="3" xfId="1" applyFont="1" applyBorder="1" applyAlignment="1">
      <alignment wrapText="1"/>
    </xf>
    <xf numFmtId="0" fontId="1" fillId="0" borderId="2" xfId="1" applyFont="1" applyBorder="1" applyAlignment="1">
      <alignment wrapText="1"/>
    </xf>
    <xf numFmtId="4" fontId="1" fillId="0" borderId="1" xfId="1" applyNumberFormat="1" applyFont="1" applyBorder="1" applyAlignment="1">
      <alignment wrapText="1"/>
    </xf>
    <xf numFmtId="0" fontId="1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25" xfId="1" applyFont="1" applyBorder="1"/>
    <xf numFmtId="0" fontId="1" fillId="0" borderId="0" xfId="1" applyFont="1" applyBorder="1" applyAlignment="1"/>
    <xf numFmtId="0" fontId="1" fillId="0" borderId="46" xfId="1" applyFont="1" applyBorder="1" applyAlignment="1">
      <alignment wrapText="1"/>
    </xf>
    <xf numFmtId="0" fontId="1" fillId="0" borderId="7" xfId="1" applyFont="1" applyBorder="1" applyAlignment="1">
      <alignment wrapText="1"/>
    </xf>
    <xf numFmtId="0" fontId="1" fillId="0" borderId="8" xfId="1" applyFont="1" applyBorder="1" applyAlignment="1">
      <alignment wrapText="1"/>
    </xf>
    <xf numFmtId="4" fontId="1" fillId="0" borderId="16" xfId="1" applyNumberFormat="1" applyFont="1" applyBorder="1" applyAlignment="1">
      <alignment wrapText="1"/>
    </xf>
    <xf numFmtId="4" fontId="1" fillId="0" borderId="18" xfId="1" applyNumberFormat="1" applyFont="1" applyBorder="1" applyAlignment="1">
      <alignment wrapText="1"/>
    </xf>
    <xf numFmtId="0" fontId="1" fillId="16" borderId="1" xfId="0" applyFont="1" applyFill="1" applyBorder="1"/>
    <xf numFmtId="0" fontId="1" fillId="0" borderId="15" xfId="1" applyFont="1" applyBorder="1" applyAlignment="1">
      <alignment wrapText="1"/>
    </xf>
    <xf numFmtId="0" fontId="1" fillId="17" borderId="1" xfId="0" applyFont="1" applyFill="1" applyBorder="1"/>
    <xf numFmtId="0" fontId="1" fillId="0" borderId="1" xfId="0" applyFont="1" applyFill="1" applyBorder="1"/>
    <xf numFmtId="0" fontId="1" fillId="0" borderId="48" xfId="1" applyFont="1" applyBorder="1" applyAlignment="1">
      <alignment wrapText="1"/>
    </xf>
    <xf numFmtId="0" fontId="1" fillId="0" borderId="9" xfId="1" applyFont="1" applyBorder="1"/>
    <xf numFmtId="0" fontId="1" fillId="0" borderId="34" xfId="1" applyFont="1" applyBorder="1" applyAlignment="1">
      <alignment wrapText="1"/>
    </xf>
    <xf numFmtId="0" fontId="1" fillId="0" borderId="50" xfId="1" applyFont="1" applyBorder="1" applyAlignment="1">
      <alignment wrapText="1"/>
    </xf>
    <xf numFmtId="4" fontId="1" fillId="0" borderId="0" xfId="1" applyNumberFormat="1" applyFont="1" applyFill="1" applyBorder="1" applyAlignment="1">
      <alignment wrapText="1"/>
    </xf>
    <xf numFmtId="0" fontId="1" fillId="0" borderId="0" xfId="1" applyFont="1" applyFill="1" applyBorder="1" applyAlignment="1">
      <alignment horizontal="center" wrapText="1"/>
    </xf>
    <xf numFmtId="0" fontId="1" fillId="0" borderId="0" xfId="1" applyFont="1" applyFill="1" applyBorder="1" applyAlignment="1">
      <alignment wrapText="1"/>
    </xf>
    <xf numFmtId="0" fontId="1" fillId="0" borderId="0" xfId="1" applyFont="1" applyBorder="1" applyAlignment="1">
      <alignment horizontal="center" wrapText="1"/>
    </xf>
    <xf numFmtId="0" fontId="1" fillId="0" borderId="1" xfId="1" applyNumberFormat="1" applyFont="1" applyBorder="1" applyAlignment="1">
      <alignment wrapText="1"/>
    </xf>
    <xf numFmtId="17" fontId="1" fillId="0" borderId="0" xfId="1" applyNumberFormat="1" applyFont="1" applyAlignment="1">
      <alignment wrapText="1"/>
    </xf>
    <xf numFmtId="17" fontId="1" fillId="0" borderId="0" xfId="1" applyNumberFormat="1" applyFont="1" applyFill="1"/>
    <xf numFmtId="4" fontId="0" fillId="0" borderId="0" xfId="0" applyNumberFormat="1" applyAlignment="1">
      <alignment wrapText="1"/>
    </xf>
    <xf numFmtId="0" fontId="1" fillId="0" borderId="0" xfId="0" applyFont="1" applyAlignment="1">
      <alignment wrapText="1"/>
    </xf>
    <xf numFmtId="0" fontId="13" fillId="0" borderId="0" xfId="0" applyFont="1"/>
    <xf numFmtId="0" fontId="13" fillId="0" borderId="0" xfId="0" applyFont="1" applyAlignment="1">
      <alignment wrapText="1"/>
    </xf>
    <xf numFmtId="0" fontId="1" fillId="0" borderId="16" xfId="1" applyFont="1" applyFill="1" applyBorder="1"/>
    <xf numFmtId="0" fontId="1" fillId="0" borderId="17" xfId="1" applyFont="1" applyFill="1" applyBorder="1"/>
    <xf numFmtId="0" fontId="1" fillId="0" borderId="18" xfId="1" applyFont="1" applyFill="1" applyBorder="1" applyAlignment="1">
      <alignment wrapText="1"/>
    </xf>
    <xf numFmtId="0" fontId="1" fillId="0" borderId="12" xfId="1" applyFont="1" applyFill="1" applyBorder="1"/>
    <xf numFmtId="0" fontId="1" fillId="0" borderId="13" xfId="1" applyFont="1" applyFill="1" applyBorder="1"/>
    <xf numFmtId="0" fontId="1" fillId="0" borderId="14" xfId="1" applyFont="1" applyFill="1" applyBorder="1" applyAlignment="1">
      <alignment wrapText="1"/>
    </xf>
    <xf numFmtId="0" fontId="1" fillId="0" borderId="5" xfId="1" applyFont="1" applyFill="1" applyBorder="1"/>
    <xf numFmtId="0" fontId="1" fillId="0" borderId="1" xfId="1" applyFont="1" applyFill="1" applyBorder="1"/>
    <xf numFmtId="0" fontId="1" fillId="0" borderId="6" xfId="1" applyFont="1" applyFill="1" applyBorder="1" applyAlignment="1">
      <alignment wrapText="1"/>
    </xf>
    <xf numFmtId="0" fontId="1" fillId="0" borderId="2" xfId="1" applyFont="1" applyBorder="1"/>
    <xf numFmtId="0" fontId="1" fillId="0" borderId="5" xfId="1" applyFont="1" applyBorder="1"/>
    <xf numFmtId="0" fontId="1" fillId="0" borderId="11" xfId="1" applyFont="1" applyFill="1" applyBorder="1"/>
    <xf numFmtId="0" fontId="1" fillId="0" borderId="2" xfId="1" applyFont="1" applyFill="1" applyBorder="1"/>
    <xf numFmtId="0" fontId="1" fillId="0" borderId="3" xfId="1" applyFont="1" applyFill="1" applyBorder="1"/>
    <xf numFmtId="0" fontId="1" fillId="0" borderId="4" xfId="1" applyFont="1" applyFill="1" applyBorder="1" applyAlignment="1">
      <alignment wrapText="1"/>
    </xf>
    <xf numFmtId="0" fontId="1" fillId="0" borderId="10" xfId="1" applyFont="1" applyFill="1" applyBorder="1" applyAlignment="1">
      <alignment wrapText="1"/>
    </xf>
    <xf numFmtId="0" fontId="1" fillId="0" borderId="7" xfId="1" applyFont="1" applyFill="1" applyBorder="1" applyAlignment="1">
      <alignment wrapText="1"/>
    </xf>
    <xf numFmtId="0" fontId="1" fillId="0" borderId="8" xfId="1" applyFont="1" applyFill="1" applyBorder="1" applyAlignment="1">
      <alignment wrapText="1"/>
    </xf>
    <xf numFmtId="0" fontId="1" fillId="0" borderId="9" xfId="1" applyFont="1" applyFill="1" applyBorder="1" applyAlignment="1">
      <alignment wrapText="1"/>
    </xf>
    <xf numFmtId="0" fontId="54" fillId="0" borderId="0" xfId="1" applyFont="1" applyFill="1"/>
    <xf numFmtId="0" fontId="54" fillId="0" borderId="1" xfId="1" applyFont="1" applyFill="1" applyBorder="1"/>
    <xf numFmtId="0" fontId="39" fillId="0" borderId="0" xfId="1" applyFont="1" applyFill="1"/>
    <xf numFmtId="0" fontId="55" fillId="0" borderId="1" xfId="1" applyFont="1" applyFill="1" applyBorder="1"/>
    <xf numFmtId="0" fontId="39" fillId="0" borderId="1" xfId="1" applyFont="1" applyFill="1" applyBorder="1"/>
    <xf numFmtId="0" fontId="49" fillId="0" borderId="0" xfId="1" applyFont="1" applyFill="1" applyAlignment="1">
      <alignment wrapText="1"/>
    </xf>
    <xf numFmtId="0" fontId="49" fillId="0" borderId="1" xfId="1" applyFont="1" applyFill="1" applyBorder="1" applyAlignment="1">
      <alignment wrapText="1"/>
    </xf>
    <xf numFmtId="0" fontId="31" fillId="0" borderId="0" xfId="1" applyFont="1" applyFill="1"/>
    <xf numFmtId="0" fontId="56" fillId="0" borderId="0" xfId="1" applyFont="1" applyFill="1"/>
    <xf numFmtId="0" fontId="57" fillId="0" borderId="0" xfId="1" applyFont="1" applyFill="1"/>
    <xf numFmtId="0" fontId="51" fillId="0" borderId="1" xfId="1" applyFont="1" applyFill="1" applyBorder="1"/>
    <xf numFmtId="0" fontId="38" fillId="0" borderId="1" xfId="1" applyFont="1" applyFill="1" applyBorder="1"/>
    <xf numFmtId="0" fontId="38" fillId="0" borderId="1" xfId="1" applyFont="1" applyFill="1" applyBorder="1" applyAlignment="1">
      <alignment wrapText="1"/>
    </xf>
    <xf numFmtId="0" fontId="49" fillId="0" borderId="1" xfId="1" applyFont="1" applyFill="1" applyBorder="1" applyAlignment="1">
      <alignment horizontal="center" wrapText="1"/>
    </xf>
    <xf numFmtId="0" fontId="1" fillId="0" borderId="0" xfId="1" applyFont="1" applyFill="1" applyAlignment="1">
      <alignment wrapText="1"/>
    </xf>
    <xf numFmtId="0" fontId="12" fillId="0" borderId="5" xfId="1" applyFont="1" applyFill="1" applyBorder="1"/>
    <xf numFmtId="0" fontId="1" fillId="0" borderId="0" xfId="1" applyFont="1" applyFill="1" applyBorder="1"/>
    <xf numFmtId="0" fontId="1" fillId="0" borderId="3" xfId="1" applyFont="1" applyBorder="1"/>
    <xf numFmtId="0" fontId="1" fillId="0" borderId="1" xfId="1" applyFont="1" applyBorder="1"/>
    <xf numFmtId="0" fontId="2" fillId="0" borderId="9" xfId="1" applyFont="1" applyBorder="1" applyAlignment="1">
      <alignment wrapText="1"/>
    </xf>
    <xf numFmtId="4" fontId="1" fillId="0" borderId="0" xfId="1" applyNumberFormat="1" applyFont="1" applyFill="1"/>
    <xf numFmtId="0" fontId="1" fillId="0" borderId="3" xfId="1" applyFont="1" applyBorder="1" applyAlignment="1">
      <alignment horizontal="center" wrapText="1"/>
    </xf>
    <xf numFmtId="4" fontId="1" fillId="13" borderId="1" xfId="1" applyNumberFormat="1" applyFont="1" applyFill="1" applyBorder="1" applyAlignment="1">
      <alignment horizontal="center"/>
    </xf>
    <xf numFmtId="0" fontId="1" fillId="13" borderId="1" xfId="1" applyFont="1" applyFill="1" applyBorder="1" applyAlignment="1">
      <alignment horizontal="center"/>
    </xf>
    <xf numFmtId="0" fontId="1" fillId="0" borderId="7" xfId="1" applyFont="1" applyBorder="1" applyAlignment="1">
      <alignment horizontal="center" wrapText="1"/>
    </xf>
    <xf numFmtId="0" fontId="1" fillId="0" borderId="8" xfId="1" applyFont="1" applyBorder="1" applyAlignment="1">
      <alignment horizontal="center" wrapText="1"/>
    </xf>
    <xf numFmtId="0" fontId="2" fillId="0" borderId="8" xfId="1" applyFont="1" applyBorder="1" applyAlignment="1">
      <alignment horizontal="center" wrapText="1"/>
    </xf>
    <xf numFmtId="0" fontId="2" fillId="0" borderId="8" xfId="1" applyFont="1" applyBorder="1" applyAlignment="1">
      <alignment wrapText="1"/>
    </xf>
    <xf numFmtId="4" fontId="48" fillId="0" borderId="2" xfId="1" applyNumberFormat="1" applyFont="1" applyBorder="1"/>
    <xf numFmtId="0" fontId="48" fillId="0" borderId="3" xfId="1" applyFont="1" applyBorder="1" applyAlignment="1">
      <alignment horizontal="center"/>
    </xf>
    <xf numFmtId="4" fontId="48" fillId="0" borderId="3" xfId="1" applyNumberFormat="1" applyFont="1" applyBorder="1" applyAlignment="1">
      <alignment horizontal="center" wrapText="1"/>
    </xf>
    <xf numFmtId="0" fontId="47" fillId="0" borderId="4" xfId="1" applyFont="1" applyBorder="1" applyAlignment="1">
      <alignment wrapText="1"/>
    </xf>
    <xf numFmtId="4" fontId="48" fillId="0" borderId="5" xfId="1" applyNumberFormat="1" applyFont="1" applyBorder="1"/>
    <xf numFmtId="0" fontId="48" fillId="0" borderId="1" xfId="1" applyFont="1" applyBorder="1" applyAlignment="1">
      <alignment horizontal="center"/>
    </xf>
    <xf numFmtId="4" fontId="48" fillId="0" borderId="1" xfId="1" applyNumberFormat="1" applyFont="1" applyBorder="1" applyAlignment="1">
      <alignment horizontal="center" wrapText="1"/>
    </xf>
    <xf numFmtId="0" fontId="47" fillId="0" borderId="6" xfId="1" applyFont="1" applyBorder="1" applyAlignment="1">
      <alignment wrapText="1"/>
    </xf>
    <xf numFmtId="0" fontId="48" fillId="0" borderId="7" xfId="1" applyFont="1" applyBorder="1" applyAlignment="1">
      <alignment wrapText="1"/>
    </xf>
    <xf numFmtId="0" fontId="58" fillId="0" borderId="8" xfId="1" applyFont="1" applyBorder="1" applyAlignment="1">
      <alignment horizontal="center" wrapText="1"/>
    </xf>
    <xf numFmtId="0" fontId="48" fillId="0" borderId="8" xfId="1" applyFont="1" applyBorder="1" applyAlignment="1">
      <alignment wrapText="1"/>
    </xf>
    <xf numFmtId="0" fontId="58" fillId="0" borderId="8" xfId="1" applyFont="1" applyBorder="1" applyAlignment="1">
      <alignment wrapText="1"/>
    </xf>
    <xf numFmtId="0" fontId="58" fillId="0" borderId="9" xfId="1" applyFont="1" applyBorder="1" applyAlignment="1">
      <alignment wrapText="1"/>
    </xf>
    <xf numFmtId="0" fontId="59" fillId="0" borderId="0" xfId="1" applyFont="1" applyAlignment="1">
      <alignment wrapText="1"/>
    </xf>
    <xf numFmtId="10" fontId="1" fillId="0" borderId="1" xfId="1" applyNumberFormat="1" applyFont="1" applyBorder="1"/>
    <xf numFmtId="0" fontId="8" fillId="0" borderId="1" xfId="1" applyFill="1" applyBorder="1"/>
    <xf numFmtId="0" fontId="1" fillId="0" borderId="8" xfId="1" applyFont="1" applyBorder="1"/>
    <xf numFmtId="2" fontId="1" fillId="0" borderId="0" xfId="1" applyNumberFormat="1" applyFont="1" applyFill="1"/>
    <xf numFmtId="4" fontId="1" fillId="0" borderId="0" xfId="1" applyNumberFormat="1" applyFont="1" applyAlignment="1">
      <alignment horizontal="center"/>
    </xf>
    <xf numFmtId="2" fontId="1" fillId="0" borderId="19" xfId="1" applyNumberFormat="1" applyFont="1" applyFill="1" applyBorder="1"/>
    <xf numFmtId="4" fontId="60" fillId="0" borderId="51" xfId="1" applyNumberFormat="1" applyFont="1" applyBorder="1" applyAlignment="1">
      <alignment horizontal="center"/>
    </xf>
    <xf numFmtId="0" fontId="60" fillId="0" borderId="19" xfId="1" applyFont="1" applyBorder="1"/>
    <xf numFmtId="4" fontId="60" fillId="0" borderId="19" xfId="1" applyNumberFormat="1" applyFont="1" applyBorder="1" applyAlignment="1">
      <alignment horizontal="center"/>
    </xf>
    <xf numFmtId="0" fontId="1" fillId="0" borderId="19" xfId="1" applyFont="1" applyBorder="1"/>
    <xf numFmtId="0" fontId="60" fillId="0" borderId="45" xfId="1" applyFont="1" applyFill="1" applyBorder="1" applyAlignment="1">
      <alignment vertical="top" wrapText="1"/>
    </xf>
    <xf numFmtId="0" fontId="1" fillId="5" borderId="0" xfId="1" applyFont="1" applyFill="1"/>
    <xf numFmtId="0" fontId="1" fillId="18" borderId="3" xfId="1" applyFont="1" applyFill="1" applyBorder="1"/>
    <xf numFmtId="4" fontId="1" fillId="18" borderId="24" xfId="1" applyNumberFormat="1" applyFont="1" applyFill="1" applyBorder="1" applyAlignment="1">
      <alignment horizontal="center" vertical="top" wrapText="1"/>
    </xf>
    <xf numFmtId="0" fontId="1" fillId="18" borderId="3" xfId="1" applyFont="1" applyFill="1" applyBorder="1" applyAlignment="1">
      <alignment horizontal="center" vertical="top" wrapText="1"/>
    </xf>
    <xf numFmtId="2" fontId="1" fillId="18" borderId="3" xfId="1" applyNumberFormat="1" applyFont="1" applyFill="1" applyBorder="1" applyAlignment="1">
      <alignment horizontal="center" vertical="top" wrapText="1"/>
    </xf>
    <xf numFmtId="10" fontId="1" fillId="18" borderId="3" xfId="1" applyNumberFormat="1" applyFont="1" applyFill="1" applyBorder="1" applyAlignment="1">
      <alignment horizontal="center" vertical="top" wrapText="1"/>
    </xf>
    <xf numFmtId="0" fontId="1" fillId="18" borderId="4" xfId="1" applyFont="1" applyFill="1" applyBorder="1" applyAlignment="1">
      <alignment vertical="top" wrapText="1"/>
    </xf>
    <xf numFmtId="4" fontId="1" fillId="0" borderId="28" xfId="1" applyNumberFormat="1" applyFont="1" applyBorder="1" applyAlignment="1">
      <alignment horizontal="center" vertical="top" wrapText="1"/>
    </xf>
    <xf numFmtId="0" fontId="1" fillId="0" borderId="1" xfId="1" applyFont="1" applyFill="1" applyBorder="1" applyAlignment="1">
      <alignment vertical="top"/>
    </xf>
    <xf numFmtId="49" fontId="1" fillId="0" borderId="6" xfId="1" applyNumberFormat="1" applyFont="1" applyBorder="1" applyAlignment="1">
      <alignment vertical="top" wrapText="1"/>
    </xf>
    <xf numFmtId="0" fontId="1" fillId="0" borderId="7" xfId="1" applyFont="1" applyFill="1" applyBorder="1"/>
    <xf numFmtId="0" fontId="1" fillId="0" borderId="8" xfId="1" applyFont="1" applyFill="1" applyBorder="1" applyAlignment="1">
      <alignment vertical="top"/>
    </xf>
    <xf numFmtId="0" fontId="1" fillId="0" borderId="8" xfId="1" applyFont="1" applyFill="1" applyBorder="1"/>
    <xf numFmtId="4" fontId="1" fillId="0" borderId="42" xfId="1" applyNumberFormat="1" applyFont="1" applyBorder="1" applyAlignment="1">
      <alignment horizontal="center" vertical="top" wrapText="1"/>
    </xf>
    <xf numFmtId="0" fontId="1" fillId="7" borderId="0" xfId="1" applyFont="1" applyFill="1"/>
    <xf numFmtId="4" fontId="1" fillId="19" borderId="17" xfId="1" applyNumberFormat="1" applyFont="1" applyFill="1" applyBorder="1"/>
    <xf numFmtId="4" fontId="1" fillId="19" borderId="36" xfId="1" applyNumberFormat="1" applyFont="1" applyFill="1" applyBorder="1" applyAlignment="1">
      <alignment horizontal="center" vertical="top" wrapText="1"/>
    </xf>
    <xf numFmtId="0" fontId="1" fillId="19" borderId="17" xfId="1" applyFont="1" applyFill="1" applyBorder="1" applyAlignment="1">
      <alignment vertical="top" wrapText="1"/>
    </xf>
    <xf numFmtId="0" fontId="1" fillId="19" borderId="17" xfId="1" applyFont="1" applyFill="1" applyBorder="1" applyAlignment="1">
      <alignment horizontal="center" vertical="top" wrapText="1"/>
    </xf>
    <xf numFmtId="0" fontId="1" fillId="19" borderId="18" xfId="1" applyFont="1" applyFill="1" applyBorder="1" applyAlignment="1">
      <alignment vertical="top" wrapText="1"/>
    </xf>
    <xf numFmtId="0" fontId="1" fillId="3" borderId="0" xfId="1" applyFont="1" applyFill="1"/>
    <xf numFmtId="0" fontId="1" fillId="20" borderId="3" xfId="1" applyFont="1" applyFill="1" applyBorder="1"/>
    <xf numFmtId="4" fontId="1" fillId="20" borderId="24" xfId="1" applyNumberFormat="1" applyFont="1" applyFill="1" applyBorder="1" applyAlignment="1">
      <alignment horizontal="center" vertical="top" wrapText="1"/>
    </xf>
    <xf numFmtId="0" fontId="1" fillId="20" borderId="3" xfId="1" applyFont="1" applyFill="1" applyBorder="1" applyAlignment="1">
      <alignment vertical="top" wrapText="1"/>
    </xf>
    <xf numFmtId="4" fontId="1" fillId="20" borderId="2" xfId="1" applyNumberFormat="1" applyFont="1" applyFill="1" applyBorder="1" applyAlignment="1">
      <alignment horizontal="center" vertical="top" wrapText="1"/>
    </xf>
    <xf numFmtId="0" fontId="1" fillId="20" borderId="3" xfId="1" applyFont="1" applyFill="1" applyBorder="1" applyAlignment="1">
      <alignment horizontal="center" vertical="top" wrapText="1"/>
    </xf>
    <xf numFmtId="0" fontId="1" fillId="20" borderId="4" xfId="1" applyFont="1" applyFill="1" applyBorder="1" applyAlignment="1">
      <alignment vertical="top" wrapText="1"/>
    </xf>
    <xf numFmtId="0" fontId="1" fillId="2" borderId="0" xfId="1" applyFont="1" applyFill="1"/>
    <xf numFmtId="0" fontId="1" fillId="21" borderId="3" xfId="1" applyFont="1" applyFill="1" applyBorder="1"/>
    <xf numFmtId="4" fontId="1" fillId="21" borderId="51" xfId="1" applyNumberFormat="1" applyFont="1" applyFill="1" applyBorder="1" applyAlignment="1">
      <alignment horizontal="center" vertical="top" wrapText="1"/>
    </xf>
    <xf numFmtId="0" fontId="1" fillId="21" borderId="19" xfId="1" applyFont="1" applyFill="1" applyBorder="1" applyAlignment="1">
      <alignment vertical="top" wrapText="1"/>
    </xf>
    <xf numFmtId="4" fontId="1" fillId="21" borderId="19" xfId="1" applyNumberFormat="1" applyFont="1" applyFill="1" applyBorder="1" applyAlignment="1">
      <alignment horizontal="center" vertical="top" wrapText="1"/>
    </xf>
    <xf numFmtId="0" fontId="1" fillId="21" borderId="45" xfId="1" applyFont="1" applyFill="1" applyBorder="1" applyAlignment="1">
      <alignment vertical="top" wrapText="1"/>
    </xf>
    <xf numFmtId="4" fontId="1" fillId="3" borderId="24" xfId="1" applyNumberFormat="1" applyFont="1" applyFill="1" applyBorder="1" applyAlignment="1">
      <alignment horizontal="center" vertical="top" wrapText="1"/>
    </xf>
    <xf numFmtId="4" fontId="1" fillId="3" borderId="42" xfId="1" applyNumberFormat="1" applyFont="1" applyFill="1" applyBorder="1" applyAlignment="1">
      <alignment horizontal="center" vertical="top" wrapText="1"/>
    </xf>
    <xf numFmtId="0" fontId="1" fillId="0" borderId="34" xfId="1" applyFont="1" applyFill="1" applyBorder="1"/>
    <xf numFmtId="0" fontId="9" fillId="0" borderId="32" xfId="1" applyFont="1" applyBorder="1" applyAlignment="1"/>
    <xf numFmtId="0" fontId="9" fillId="0" borderId="0" xfId="1" applyFont="1" applyBorder="1" applyAlignment="1"/>
    <xf numFmtId="4" fontId="1" fillId="21" borderId="24" xfId="1" applyNumberFormat="1" applyFont="1" applyFill="1" applyBorder="1" applyAlignment="1">
      <alignment horizontal="center" vertical="top" wrapText="1"/>
    </xf>
    <xf numFmtId="0" fontId="1" fillId="21" borderId="3" xfId="1" applyFont="1" applyFill="1" applyBorder="1" applyAlignment="1">
      <alignment vertical="top" wrapText="1"/>
    </xf>
    <xf numFmtId="4" fontId="1" fillId="21" borderId="2" xfId="1" applyNumberFormat="1" applyFont="1" applyFill="1" applyBorder="1" applyAlignment="1">
      <alignment horizontal="center" vertical="top" wrapText="1"/>
    </xf>
    <xf numFmtId="0" fontId="1" fillId="21" borderId="4" xfId="1" applyFont="1" applyFill="1" applyBorder="1" applyAlignment="1">
      <alignment vertical="top" wrapText="1"/>
    </xf>
    <xf numFmtId="4" fontId="1" fillId="21" borderId="3" xfId="1" applyNumberFormat="1" applyFont="1" applyFill="1" applyBorder="1" applyAlignment="1">
      <alignment horizontal="right" vertical="top" wrapText="1"/>
    </xf>
    <xf numFmtId="0" fontId="1" fillId="0" borderId="5" xfId="1" applyFont="1" applyFill="1" applyBorder="1" applyAlignment="1">
      <alignment horizontal="right"/>
    </xf>
    <xf numFmtId="0" fontId="1" fillId="0" borderId="1" xfId="1" applyFont="1" applyFill="1" applyBorder="1" applyAlignment="1">
      <alignment horizontal="right" vertical="top"/>
    </xf>
    <xf numFmtId="0" fontId="1" fillId="0" borderId="1" xfId="1" applyFont="1" applyFill="1" applyBorder="1" applyAlignment="1">
      <alignment horizontal="right"/>
    </xf>
    <xf numFmtId="4" fontId="1" fillId="3" borderId="28" xfId="1" applyNumberFormat="1" applyFont="1" applyFill="1" applyBorder="1" applyAlignment="1">
      <alignment horizontal="center" vertical="top" wrapText="1"/>
    </xf>
    <xf numFmtId="0" fontId="1" fillId="0" borderId="7" xfId="1" applyFont="1" applyFill="1" applyBorder="1" applyAlignment="1">
      <alignment horizontal="right"/>
    </xf>
    <xf numFmtId="0" fontId="1" fillId="0" borderId="8" xfId="1" applyFont="1" applyFill="1" applyBorder="1" applyAlignment="1">
      <alignment horizontal="right" vertical="top"/>
    </xf>
    <xf numFmtId="0" fontId="1" fillId="0" borderId="8" xfId="1" applyFont="1" applyFill="1" applyBorder="1" applyAlignment="1">
      <alignment horizontal="right"/>
    </xf>
    <xf numFmtId="0" fontId="1" fillId="21" borderId="2" xfId="1" applyFont="1" applyFill="1" applyBorder="1" applyAlignment="1">
      <alignment horizontal="right"/>
    </xf>
    <xf numFmtId="0" fontId="1" fillId="8" borderId="0" xfId="1" applyFont="1" applyFill="1"/>
    <xf numFmtId="0" fontId="1" fillId="21" borderId="2" xfId="1" applyFont="1" applyFill="1" applyBorder="1" applyAlignment="1">
      <alignment horizontal="center" vertical="top" wrapText="1"/>
    </xf>
    <xf numFmtId="4" fontId="1" fillId="0" borderId="1" xfId="1" applyNumberFormat="1" applyFont="1" applyFill="1" applyBorder="1" applyAlignment="1">
      <alignment horizontal="right"/>
    </xf>
    <xf numFmtId="0" fontId="1" fillId="0" borderId="28" xfId="1" applyFont="1" applyBorder="1" applyAlignment="1">
      <alignment horizontal="center" vertical="top" wrapText="1"/>
    </xf>
    <xf numFmtId="0" fontId="9" fillId="0" borderId="1" xfId="1" applyFont="1" applyBorder="1" applyAlignment="1">
      <alignment horizontal="center" vertical="top" wrapText="1"/>
    </xf>
    <xf numFmtId="0" fontId="1" fillId="0" borderId="6" xfId="1" applyFont="1" applyBorder="1" applyAlignment="1">
      <alignment horizontal="left" vertical="top" wrapText="1"/>
    </xf>
    <xf numFmtId="0" fontId="1" fillId="0" borderId="1" xfId="1" applyFont="1" applyBorder="1" applyAlignment="1">
      <alignment horizontal="left" vertical="top" wrapText="1"/>
    </xf>
    <xf numFmtId="4" fontId="1" fillId="0" borderId="13" xfId="1" applyNumberFormat="1" applyFont="1" applyFill="1" applyBorder="1"/>
    <xf numFmtId="0" fontId="1" fillId="0" borderId="23" xfId="1" applyFont="1" applyBorder="1" applyAlignment="1">
      <alignment horizontal="center" vertical="top" wrapText="1"/>
    </xf>
    <xf numFmtId="0" fontId="9" fillId="0" borderId="13" xfId="1" applyFont="1" applyBorder="1" applyAlignment="1">
      <alignment horizontal="center" vertical="top" wrapText="1"/>
    </xf>
    <xf numFmtId="0" fontId="1" fillId="0" borderId="13" xfId="1" applyFont="1" applyBorder="1" applyAlignment="1">
      <alignment horizontal="left" vertical="top" wrapText="1"/>
    </xf>
    <xf numFmtId="0" fontId="1" fillId="21" borderId="2" xfId="1" applyFont="1" applyFill="1" applyBorder="1" applyAlignment="1">
      <alignment horizontal="right" vertical="top" wrapText="1"/>
    </xf>
    <xf numFmtId="0" fontId="1" fillId="21" borderId="3" xfId="1" applyFont="1" applyFill="1" applyBorder="1" applyAlignment="1">
      <alignment horizontal="right" vertical="top" wrapText="1"/>
    </xf>
    <xf numFmtId="0" fontId="1" fillId="21" borderId="24" xfId="1" applyFont="1" applyFill="1" applyBorder="1" applyAlignment="1">
      <alignment horizontal="right" vertical="top" wrapText="1"/>
    </xf>
    <xf numFmtId="0" fontId="1" fillId="21" borderId="4" xfId="1" applyFont="1" applyFill="1" applyBorder="1" applyAlignment="1">
      <alignment horizontal="right" vertical="top" wrapText="1"/>
    </xf>
    <xf numFmtId="0" fontId="1" fillId="0" borderId="28" xfId="1" applyFont="1" applyBorder="1" applyAlignment="1">
      <alignment horizontal="right" vertical="top" wrapText="1"/>
    </xf>
    <xf numFmtId="0" fontId="1" fillId="0" borderId="1" xfId="1" applyFont="1" applyBorder="1" applyAlignment="1">
      <alignment horizontal="right" vertical="top" wrapText="1"/>
    </xf>
    <xf numFmtId="0" fontId="1" fillId="0" borderId="6" xfId="1" applyFont="1" applyBorder="1" applyAlignment="1">
      <alignment horizontal="right" vertical="top" wrapText="1"/>
    </xf>
    <xf numFmtId="0" fontId="1" fillId="0" borderId="42" xfId="1" applyFont="1" applyBorder="1" applyAlignment="1">
      <alignment horizontal="right" vertical="top" wrapText="1"/>
    </xf>
    <xf numFmtId="0" fontId="1" fillId="0" borderId="8" xfId="1" applyFont="1" applyBorder="1" applyAlignment="1">
      <alignment horizontal="right" vertical="top" wrapText="1"/>
    </xf>
    <xf numFmtId="0" fontId="1" fillId="0" borderId="9" xfId="1" applyFont="1" applyBorder="1" applyAlignment="1">
      <alignment horizontal="left" vertical="top" wrapText="1"/>
    </xf>
    <xf numFmtId="4" fontId="1" fillId="21" borderId="12" xfId="1" applyNumberFormat="1" applyFont="1" applyFill="1" applyBorder="1" applyAlignment="1">
      <alignment horizontal="center" vertical="top" wrapText="1"/>
    </xf>
    <xf numFmtId="0" fontId="1" fillId="21" borderId="13" xfId="1" applyFont="1" applyFill="1" applyBorder="1" applyAlignment="1">
      <alignment horizontal="center" vertical="top" wrapText="1"/>
    </xf>
    <xf numFmtId="0" fontId="1" fillId="21" borderId="13" xfId="1" applyFont="1" applyFill="1" applyBorder="1" applyAlignment="1">
      <alignment vertical="top" wrapText="1"/>
    </xf>
    <xf numFmtId="0" fontId="1" fillId="21" borderId="14" xfId="1" applyFont="1" applyFill="1" applyBorder="1" applyAlignment="1">
      <alignment vertical="top" wrapText="1"/>
    </xf>
    <xf numFmtId="4" fontId="1" fillId="0" borderId="30" xfId="1" applyNumberFormat="1" applyFont="1" applyBorder="1" applyAlignment="1">
      <alignment horizontal="center" vertical="top" wrapText="1"/>
    </xf>
    <xf numFmtId="4" fontId="1" fillId="0" borderId="1" xfId="1" applyNumberFormat="1" applyFont="1" applyFill="1" applyBorder="1" applyAlignment="1">
      <alignment horizontal="right" vertical="top"/>
    </xf>
    <xf numFmtId="0" fontId="1" fillId="0" borderId="11" xfId="1" applyFont="1" applyFill="1" applyBorder="1" applyAlignment="1">
      <alignment horizontal="right" vertical="top"/>
    </xf>
    <xf numFmtId="4" fontId="1" fillId="21" borderId="13" xfId="1" applyNumberFormat="1" applyFont="1" applyFill="1" applyBorder="1" applyAlignment="1">
      <alignment horizontal="right" vertical="top" wrapText="1"/>
    </xf>
    <xf numFmtId="4" fontId="1" fillId="21" borderId="23" xfId="1" applyNumberFormat="1" applyFont="1" applyFill="1" applyBorder="1" applyAlignment="1">
      <alignment horizontal="center" vertical="top" wrapText="1"/>
    </xf>
    <xf numFmtId="0" fontId="4" fillId="21" borderId="14" xfId="1" applyFont="1" applyFill="1" applyBorder="1" applyAlignment="1">
      <alignment vertical="top" wrapText="1"/>
    </xf>
    <xf numFmtId="0" fontId="1" fillId="0" borderId="11" xfId="1" applyFont="1" applyFill="1" applyBorder="1" applyAlignment="1">
      <alignment vertical="top"/>
    </xf>
    <xf numFmtId="4" fontId="1" fillId="0" borderId="1" xfId="1" applyNumberFormat="1" applyFont="1" applyFill="1" applyBorder="1" applyAlignment="1">
      <alignment vertical="top"/>
    </xf>
    <xf numFmtId="0" fontId="1" fillId="21" borderId="3" xfId="1" applyFont="1" applyFill="1" applyBorder="1" applyAlignment="1">
      <alignment horizontal="center" vertical="top" wrapText="1"/>
    </xf>
    <xf numFmtId="0" fontId="4" fillId="21" borderId="4" xfId="1" applyFont="1" applyFill="1" applyBorder="1" applyAlignment="1">
      <alignment vertical="top" wrapText="1"/>
    </xf>
    <xf numFmtId="0" fontId="1" fillId="0" borderId="5" xfId="1" applyFont="1" applyFill="1" applyBorder="1" applyAlignment="1">
      <alignment vertical="top"/>
    </xf>
    <xf numFmtId="0" fontId="1" fillId="0" borderId="20" xfId="1" applyFont="1" applyFill="1" applyBorder="1" applyAlignment="1">
      <alignment vertical="top"/>
    </xf>
    <xf numFmtId="0" fontId="4" fillId="0" borderId="1" xfId="1" applyFont="1" applyBorder="1" applyAlignment="1">
      <alignment vertical="top" wrapText="1"/>
    </xf>
    <xf numFmtId="0" fontId="1" fillId="0" borderId="12" xfId="1" applyFont="1" applyFill="1" applyBorder="1" applyAlignment="1">
      <alignment vertical="top"/>
    </xf>
    <xf numFmtId="0" fontId="1" fillId="0" borderId="21" xfId="1" applyFont="1" applyFill="1" applyBorder="1" applyAlignment="1">
      <alignment vertical="top"/>
    </xf>
    <xf numFmtId="0" fontId="1" fillId="0" borderId="13" xfId="1" applyFont="1" applyFill="1" applyBorder="1" applyAlignment="1">
      <alignment vertical="top"/>
    </xf>
    <xf numFmtId="4" fontId="1" fillId="0" borderId="27" xfId="1" applyNumberFormat="1" applyFont="1" applyBorder="1" applyAlignment="1">
      <alignment horizontal="center" vertical="top" wrapText="1"/>
    </xf>
    <xf numFmtId="0" fontId="1" fillId="0" borderId="34" xfId="1" applyFont="1" applyBorder="1" applyAlignment="1">
      <alignment horizontal="center" vertical="top" wrapText="1"/>
    </xf>
    <xf numFmtId="0" fontId="4" fillId="0" borderId="14" xfId="1" applyFont="1" applyBorder="1" applyAlignment="1">
      <alignment vertical="top" wrapText="1"/>
    </xf>
    <xf numFmtId="0" fontId="1" fillId="0" borderId="7" xfId="1" applyFont="1" applyFill="1" applyBorder="1" applyAlignment="1">
      <alignment vertical="top"/>
    </xf>
    <xf numFmtId="4" fontId="1" fillId="0" borderId="8" xfId="1" applyNumberFormat="1" applyFont="1" applyFill="1" applyBorder="1" applyAlignment="1">
      <alignment vertical="top"/>
    </xf>
    <xf numFmtId="0" fontId="4" fillId="0" borderId="17" xfId="1" applyFont="1" applyFill="1" applyBorder="1" applyAlignment="1">
      <alignment wrapText="1"/>
    </xf>
    <xf numFmtId="0" fontId="4" fillId="0" borderId="36" xfId="1" applyFont="1" applyBorder="1" applyAlignment="1">
      <alignment vertical="top" wrapText="1"/>
    </xf>
    <xf numFmtId="0" fontId="4" fillId="0" borderId="17" xfId="1" applyFont="1" applyBorder="1" applyAlignment="1">
      <alignment vertical="top" wrapText="1"/>
    </xf>
    <xf numFmtId="0" fontId="4" fillId="0" borderId="18" xfId="1" applyFont="1" applyBorder="1" applyAlignment="1">
      <alignment vertical="top" wrapText="1"/>
    </xf>
    <xf numFmtId="0" fontId="13" fillId="11" borderId="1" xfId="1" applyFont="1" applyFill="1" applyBorder="1" applyAlignment="1">
      <alignment horizontal="center"/>
    </xf>
    <xf numFmtId="0" fontId="13" fillId="0" borderId="28" xfId="1" applyFont="1" applyBorder="1" applyAlignment="1">
      <alignment horizontal="center" wrapText="1"/>
    </xf>
    <xf numFmtId="0" fontId="13" fillId="11" borderId="1" xfId="1" applyFont="1" applyFill="1" applyBorder="1" applyAlignment="1">
      <alignment horizontal="center" wrapText="1"/>
    </xf>
    <xf numFmtId="0" fontId="5" fillId="0" borderId="1" xfId="1" applyFont="1" applyFill="1" applyBorder="1" applyAlignment="1">
      <alignment wrapText="1"/>
    </xf>
    <xf numFmtId="0" fontId="4" fillId="0" borderId="1" xfId="1" applyFont="1" applyFill="1" applyBorder="1" applyAlignment="1">
      <alignment wrapText="1"/>
    </xf>
    <xf numFmtId="0" fontId="9" fillId="0" borderId="0" xfId="1" applyFont="1" applyAlignment="1">
      <alignment horizontal="left" wrapText="1"/>
    </xf>
    <xf numFmtId="0" fontId="19" fillId="11" borderId="53" xfId="1" applyFont="1" applyFill="1" applyBorder="1"/>
    <xf numFmtId="0" fontId="51" fillId="11" borderId="1" xfId="0" applyFont="1" applyFill="1" applyBorder="1"/>
    <xf numFmtId="0" fontId="19" fillId="11" borderId="55" xfId="1" applyFont="1" applyFill="1" applyBorder="1"/>
    <xf numFmtId="0" fontId="1" fillId="0" borderId="30" xfId="1" applyFont="1" applyBorder="1"/>
    <xf numFmtId="0" fontId="12" fillId="11" borderId="1" xfId="1" applyFont="1" applyFill="1" applyBorder="1"/>
    <xf numFmtId="0" fontId="1" fillId="0" borderId="11" xfId="1" applyFont="1" applyBorder="1"/>
    <xf numFmtId="0" fontId="12" fillId="0" borderId="1" xfId="1" applyFont="1" applyBorder="1"/>
    <xf numFmtId="4" fontId="12" fillId="0" borderId="1" xfId="1" applyNumberFormat="1" applyFont="1" applyBorder="1"/>
    <xf numFmtId="0" fontId="12" fillId="0" borderId="0" xfId="1" applyFont="1"/>
    <xf numFmtId="4" fontId="1" fillId="0" borderId="1" xfId="1" applyNumberFormat="1" applyFont="1" applyBorder="1" applyProtection="1">
      <protection locked="0"/>
    </xf>
    <xf numFmtId="4" fontId="1" fillId="0" borderId="1" xfId="1" applyNumberFormat="1" applyFont="1" applyBorder="1"/>
    <xf numFmtId="4" fontId="12" fillId="0" borderId="1" xfId="1" applyNumberFormat="1" applyFont="1" applyBorder="1" applyProtection="1">
      <protection locked="0"/>
    </xf>
    <xf numFmtId="2" fontId="1" fillId="0" borderId="0" xfId="1" applyNumberFormat="1" applyFont="1" applyAlignment="1">
      <alignment horizontal="center"/>
    </xf>
    <xf numFmtId="4" fontId="1" fillId="11" borderId="1" xfId="1" applyNumberFormat="1" applyFont="1" applyFill="1" applyBorder="1" applyProtection="1">
      <protection locked="0"/>
    </xf>
    <xf numFmtId="0" fontId="19" fillId="0" borderId="55" xfId="1" applyFont="1" applyBorder="1"/>
    <xf numFmtId="4" fontId="13" fillId="11" borderId="1" xfId="1" applyNumberFormat="1" applyFont="1" applyFill="1" applyBorder="1" applyAlignment="1">
      <alignment horizontal="center"/>
    </xf>
    <xf numFmtId="4" fontId="8" fillId="11" borderId="0" xfId="1" applyNumberFormat="1" applyFont="1" applyFill="1"/>
    <xf numFmtId="4" fontId="34" fillId="12" borderId="1" xfId="0" applyNumberFormat="1" applyFont="1" applyFill="1" applyBorder="1" applyAlignment="1">
      <alignment horizontal="center" wrapText="1"/>
    </xf>
    <xf numFmtId="0" fontId="1" fillId="0" borderId="1" xfId="1" applyFont="1" applyBorder="1" applyAlignment="1">
      <alignment wrapText="1"/>
    </xf>
    <xf numFmtId="0" fontId="1" fillId="0" borderId="3" xfId="1" applyFont="1" applyBorder="1" applyAlignment="1">
      <alignment wrapText="1"/>
    </xf>
    <xf numFmtId="0" fontId="4" fillId="0" borderId="8" xfId="1" applyFont="1" applyBorder="1" applyAlignment="1">
      <alignment horizontal="center" vertical="center" wrapText="1"/>
    </xf>
    <xf numFmtId="0" fontId="41" fillId="0" borderId="11" xfId="1" applyFont="1" applyFill="1" applyBorder="1" applyAlignment="1">
      <alignment horizontal="center" vertical="top" wrapText="1"/>
    </xf>
    <xf numFmtId="4" fontId="8" fillId="11" borderId="1" xfId="1" applyNumberFormat="1" applyFont="1" applyFill="1" applyBorder="1" applyProtection="1">
      <protection locked="0"/>
    </xf>
    <xf numFmtId="0" fontId="8" fillId="0" borderId="1" xfId="1" applyBorder="1" applyAlignment="1">
      <alignment horizontal="right"/>
    </xf>
    <xf numFmtId="0" fontId="21" fillId="0" borderId="1" xfId="1" applyFont="1" applyBorder="1" applyAlignment="1">
      <alignment horizontal="right"/>
    </xf>
    <xf numFmtId="3" fontId="21" fillId="0" borderId="1" xfId="1" applyNumberFormat="1" applyFont="1" applyBorder="1" applyAlignment="1">
      <alignment horizontal="right"/>
    </xf>
    <xf numFmtId="0" fontId="38" fillId="13" borderId="11" xfId="1" applyFont="1" applyFill="1" applyBorder="1" applyAlignment="1">
      <alignment horizontal="center" vertical="top" wrapText="1"/>
    </xf>
    <xf numFmtId="4" fontId="38" fillId="13" borderId="11" xfId="1" applyNumberFormat="1" applyFont="1" applyFill="1" applyBorder="1" applyAlignment="1">
      <alignment horizontal="center" vertical="top" wrapText="1"/>
    </xf>
    <xf numFmtId="2" fontId="1" fillId="0" borderId="3" xfId="1" applyNumberFormat="1" applyFont="1" applyBorder="1" applyAlignment="1">
      <alignment wrapText="1"/>
    </xf>
    <xf numFmtId="0" fontId="1" fillId="22" borderId="0" xfId="1" applyFont="1" applyFill="1"/>
    <xf numFmtId="4" fontId="1" fillId="22" borderId="0" xfId="1" applyNumberFormat="1" applyFont="1" applyFill="1"/>
    <xf numFmtId="0" fontId="8" fillId="11" borderId="1" xfId="1" applyFill="1" applyBorder="1"/>
    <xf numFmtId="4" fontId="1" fillId="13" borderId="8" xfId="1" applyNumberFormat="1" applyFont="1" applyFill="1" applyBorder="1" applyAlignment="1">
      <alignment horizontal="center" vertical="top" wrapText="1"/>
    </xf>
    <xf numFmtId="4" fontId="1" fillId="13" borderId="11" xfId="1" applyNumberFormat="1" applyFont="1" applyFill="1" applyBorder="1" applyAlignment="1">
      <alignment horizontal="center" vertical="top" wrapText="1"/>
    </xf>
    <xf numFmtId="4" fontId="1" fillId="13" borderId="1" xfId="1" applyNumberFormat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horizontal="center" vertical="center" wrapText="1"/>
    </xf>
    <xf numFmtId="0" fontId="1" fillId="11" borderId="0" xfId="1" applyFont="1" applyFill="1"/>
    <xf numFmtId="4" fontId="1" fillId="0" borderId="1" xfId="1" applyNumberFormat="1" applyFont="1" applyFill="1" applyBorder="1" applyAlignment="1">
      <alignment horizontal="center" vertical="top" wrapText="1"/>
    </xf>
    <xf numFmtId="4" fontId="1" fillId="0" borderId="11" xfId="1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2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1" applyFont="1" applyBorder="1" applyAlignment="1">
      <alignment wrapText="1"/>
    </xf>
    <xf numFmtId="0" fontId="1" fillId="0" borderId="5" xfId="1" applyFont="1" applyBorder="1" applyAlignment="1">
      <alignment wrapText="1"/>
    </xf>
    <xf numFmtId="166" fontId="1" fillId="0" borderId="8" xfId="1" applyNumberFormat="1" applyFont="1" applyBorder="1" applyAlignment="1">
      <alignment horizontal="center" vertical="top" wrapText="1"/>
    </xf>
    <xf numFmtId="166" fontId="1" fillId="0" borderId="11" xfId="1" applyNumberFormat="1" applyFont="1" applyBorder="1" applyAlignment="1">
      <alignment horizontal="center" vertical="top" wrapText="1"/>
    </xf>
    <xf numFmtId="166" fontId="1" fillId="2" borderId="3" xfId="1" applyNumberFormat="1" applyFont="1" applyFill="1" applyBorder="1" applyAlignment="1">
      <alignment horizontal="center" vertical="top" wrapText="1"/>
    </xf>
    <xf numFmtId="166" fontId="8" fillId="3" borderId="0" xfId="1" applyNumberFormat="1" applyFont="1" applyFill="1"/>
    <xf numFmtId="166" fontId="1" fillId="0" borderId="1" xfId="1" applyNumberFormat="1" applyFont="1" applyBorder="1" applyAlignment="1">
      <alignment horizontal="center" vertical="top" wrapText="1"/>
    </xf>
    <xf numFmtId="166" fontId="8" fillId="0" borderId="0" xfId="1" applyNumberFormat="1" applyFont="1" applyFill="1"/>
    <xf numFmtId="166" fontId="1" fillId="0" borderId="7" xfId="1" applyNumberFormat="1" applyFont="1" applyBorder="1" applyAlignment="1">
      <alignment horizontal="center" vertical="top"/>
    </xf>
    <xf numFmtId="166" fontId="1" fillId="0" borderId="5" xfId="1" applyNumberFormat="1" applyFont="1" applyBorder="1" applyAlignment="1">
      <alignment horizontal="center" vertical="top" wrapText="1"/>
    </xf>
    <xf numFmtId="166" fontId="1" fillId="0" borderId="5" xfId="1" applyNumberFormat="1" applyFont="1" applyBorder="1" applyAlignment="1">
      <alignment horizontal="center" vertical="top"/>
    </xf>
    <xf numFmtId="166" fontId="1" fillId="2" borderId="2" xfId="1" applyNumberFormat="1" applyFont="1" applyFill="1" applyBorder="1" applyAlignment="1">
      <alignment horizontal="center" vertical="top" wrapText="1"/>
    </xf>
    <xf numFmtId="166" fontId="1" fillId="0" borderId="7" xfId="1" applyNumberFormat="1" applyFont="1" applyBorder="1" applyAlignment="1">
      <alignment horizontal="center" vertical="top" wrapText="1"/>
    </xf>
    <xf numFmtId="166" fontId="1" fillId="8" borderId="2" xfId="1" applyNumberFormat="1" applyFont="1" applyFill="1" applyBorder="1" applyAlignment="1">
      <alignment horizontal="center" vertical="top" wrapText="1"/>
    </xf>
    <xf numFmtId="166" fontId="1" fillId="3" borderId="7" xfId="1" applyNumberFormat="1" applyFont="1" applyFill="1" applyBorder="1" applyAlignment="1">
      <alignment horizontal="center" vertical="top" wrapText="1"/>
    </xf>
    <xf numFmtId="166" fontId="1" fillId="3" borderId="5" xfId="1" applyNumberFormat="1" applyFont="1" applyFill="1" applyBorder="1" applyAlignment="1">
      <alignment horizontal="center" vertical="top" wrapText="1"/>
    </xf>
    <xf numFmtId="166" fontId="1" fillId="3" borderId="2" xfId="1" applyNumberFormat="1" applyFont="1" applyFill="1" applyBorder="1" applyAlignment="1">
      <alignment horizontal="center" vertical="top" wrapText="1"/>
    </xf>
    <xf numFmtId="166" fontId="1" fillId="2" borderId="11" xfId="1" applyNumberFormat="1" applyFont="1" applyFill="1" applyBorder="1" applyAlignment="1">
      <alignment horizontal="center" vertical="top" wrapText="1"/>
    </xf>
    <xf numFmtId="166" fontId="1" fillId="5" borderId="2" xfId="1" applyNumberFormat="1" applyFont="1" applyFill="1" applyBorder="1" applyAlignment="1">
      <alignment horizontal="center" vertical="top" wrapText="1"/>
    </xf>
    <xf numFmtId="166" fontId="1" fillId="7" borderId="16" xfId="1" applyNumberFormat="1" applyFont="1" applyFill="1" applyBorder="1" applyAlignment="1">
      <alignment horizontal="center" vertical="top" wrapText="1"/>
    </xf>
    <xf numFmtId="166" fontId="1" fillId="6" borderId="2" xfId="1" applyNumberFormat="1" applyFont="1" applyFill="1" applyBorder="1" applyAlignment="1">
      <alignment horizontal="center" vertical="top" wrapText="1"/>
    </xf>
    <xf numFmtId="166" fontId="12" fillId="0" borderId="16" xfId="1" applyNumberFormat="1" applyFont="1" applyBorder="1" applyAlignment="1">
      <alignment horizontal="center"/>
    </xf>
    <xf numFmtId="166" fontId="8" fillId="0" borderId="0" xfId="1" applyNumberFormat="1" applyFont="1" applyAlignment="1">
      <alignment horizontal="center"/>
    </xf>
    <xf numFmtId="166" fontId="1" fillId="0" borderId="0" xfId="1" applyNumberFormat="1" applyFont="1"/>
    <xf numFmtId="9" fontId="4" fillId="0" borderId="1" xfId="0" applyNumberFormat="1" applyFont="1" applyBorder="1" applyAlignment="1">
      <alignment horizontal="center"/>
    </xf>
    <xf numFmtId="0" fontId="1" fillId="13" borderId="0" xfId="0" applyFont="1" applyFill="1"/>
    <xf numFmtId="0" fontId="1" fillId="13" borderId="0" xfId="0" applyFont="1" applyFill="1" applyBorder="1" applyAlignment="1">
      <alignment horizontal="center" wrapText="1"/>
    </xf>
    <xf numFmtId="0" fontId="1" fillId="13" borderId="29" xfId="0" applyFont="1" applyFill="1" applyBorder="1" applyAlignment="1">
      <alignment wrapText="1"/>
    </xf>
    <xf numFmtId="0" fontId="2" fillId="0" borderId="0" xfId="0" applyFont="1"/>
    <xf numFmtId="0" fontId="10" fillId="0" borderId="0" xfId="1" applyFont="1" applyBorder="1" applyAlignment="1">
      <alignment horizontal="center" wrapText="1"/>
    </xf>
    <xf numFmtId="0" fontId="1" fillId="0" borderId="1" xfId="1" applyFont="1" applyBorder="1" applyAlignment="1">
      <alignment wrapText="1"/>
    </xf>
    <xf numFmtId="0" fontId="1" fillId="0" borderId="5" xfId="1" applyFont="1" applyBorder="1" applyAlignment="1">
      <alignment wrapText="1"/>
    </xf>
    <xf numFmtId="0" fontId="1" fillId="0" borderId="3" xfId="1" applyFont="1" applyBorder="1" applyAlignment="1">
      <alignment wrapText="1"/>
    </xf>
    <xf numFmtId="0" fontId="1" fillId="0" borderId="2" xfId="1" applyFont="1" applyBorder="1" applyAlignment="1">
      <alignment wrapText="1"/>
    </xf>
    <xf numFmtId="4" fontId="1" fillId="0" borderId="1" xfId="1" applyNumberFormat="1" applyFont="1" applyBorder="1" applyAlignment="1">
      <alignment wrapText="1"/>
    </xf>
    <xf numFmtId="4" fontId="1" fillId="0" borderId="3" xfId="1" applyNumberFormat="1" applyFont="1" applyBorder="1" applyAlignment="1">
      <alignment wrapText="1"/>
    </xf>
    <xf numFmtId="4" fontId="1" fillId="0" borderId="2" xfId="1" applyNumberFormat="1" applyFont="1" applyBorder="1" applyAlignment="1">
      <alignment wrapText="1"/>
    </xf>
    <xf numFmtId="4" fontId="1" fillId="0" borderId="5" xfId="1" applyNumberFormat="1" applyFont="1" applyBorder="1" applyAlignment="1">
      <alignment wrapText="1"/>
    </xf>
    <xf numFmtId="0" fontId="4" fillId="0" borderId="6" xfId="1" applyFont="1" applyFill="1" applyBorder="1" applyAlignment="1">
      <alignment vertical="top" wrapText="1"/>
    </xf>
    <xf numFmtId="0" fontId="1" fillId="0" borderId="1" xfId="1" applyFont="1" applyFill="1" applyBorder="1" applyAlignment="1">
      <alignment horizontal="center" vertical="top" wrapText="1"/>
    </xf>
    <xf numFmtId="0" fontId="1" fillId="0" borderId="5" xfId="1" applyFont="1" applyFill="1" applyBorder="1" applyAlignment="1">
      <alignment horizontal="center" vertical="top" wrapText="1"/>
    </xf>
    <xf numFmtId="166" fontId="1" fillId="0" borderId="1" xfId="1" applyNumberFormat="1" applyFont="1" applyFill="1" applyBorder="1" applyAlignment="1">
      <alignment horizontal="center" vertical="top" wrapText="1"/>
    </xf>
    <xf numFmtId="0" fontId="13" fillId="0" borderId="0" xfId="1" applyFont="1" applyBorder="1"/>
    <xf numFmtId="0" fontId="1" fillId="0" borderId="31" xfId="1" applyFont="1" applyBorder="1" applyAlignment="1">
      <alignment wrapText="1"/>
    </xf>
    <xf numFmtId="0" fontId="1" fillId="0" borderId="13" xfId="1" applyFont="1" applyBorder="1" applyAlignment="1">
      <alignment wrapText="1"/>
    </xf>
    <xf numFmtId="0" fontId="1" fillId="0" borderId="49" xfId="1" applyFont="1" applyBorder="1" applyAlignment="1">
      <alignment wrapText="1"/>
    </xf>
    <xf numFmtId="0" fontId="4" fillId="0" borderId="9" xfId="1" applyFont="1" applyBorder="1" applyAlignment="1">
      <alignment wrapText="1"/>
    </xf>
    <xf numFmtId="0" fontId="4" fillId="0" borderId="7" xfId="1" applyFont="1" applyBorder="1" applyAlignment="1">
      <alignment wrapText="1"/>
    </xf>
    <xf numFmtId="0" fontId="0" fillId="0" borderId="1" xfId="0" applyFont="1" applyFill="1" applyBorder="1"/>
    <xf numFmtId="0" fontId="0" fillId="0" borderId="0" xfId="0" applyFont="1" applyFill="1"/>
    <xf numFmtId="167" fontId="0" fillId="0" borderId="0" xfId="0" applyNumberFormat="1"/>
    <xf numFmtId="0" fontId="1" fillId="0" borderId="25" xfId="1" applyFont="1" applyBorder="1" applyAlignment="1">
      <alignment horizontal="center" wrapText="1"/>
    </xf>
    <xf numFmtId="9" fontId="34" fillId="0" borderId="1" xfId="0" applyNumberFormat="1" applyFont="1" applyBorder="1" applyAlignment="1">
      <alignment wrapText="1"/>
    </xf>
    <xf numFmtId="10" fontId="34" fillId="0" borderId="1" xfId="0" applyNumberFormat="1" applyFont="1" applyBorder="1" applyAlignment="1">
      <alignment wrapText="1"/>
    </xf>
    <xf numFmtId="2" fontId="0" fillId="0" borderId="0" xfId="0" applyNumberFormat="1"/>
    <xf numFmtId="4" fontId="1" fillId="0" borderId="15" xfId="1" applyNumberFormat="1" applyFont="1" applyBorder="1" applyAlignment="1">
      <alignment wrapText="1"/>
    </xf>
    <xf numFmtId="4" fontId="1" fillId="0" borderId="31" xfId="1" applyNumberFormat="1" applyFont="1" applyBorder="1" applyAlignment="1">
      <alignment wrapText="1"/>
    </xf>
    <xf numFmtId="0" fontId="34" fillId="0" borderId="0" xfId="0" applyFont="1" applyAlignment="1">
      <alignment wrapText="1"/>
    </xf>
    <xf numFmtId="4" fontId="1" fillId="0" borderId="49" xfId="1" applyNumberFormat="1" applyFont="1" applyBorder="1" applyAlignment="1">
      <alignment wrapText="1"/>
    </xf>
    <xf numFmtId="0" fontId="4" fillId="0" borderId="0" xfId="1" applyFont="1" applyBorder="1" applyAlignment="1">
      <alignment wrapText="1"/>
    </xf>
    <xf numFmtId="0" fontId="4" fillId="0" borderId="1" xfId="1" applyFont="1" applyBorder="1" applyAlignment="1">
      <alignment wrapText="1"/>
    </xf>
    <xf numFmtId="3" fontId="4" fillId="0" borderId="1" xfId="0" applyNumberFormat="1" applyFont="1" applyBorder="1"/>
    <xf numFmtId="0" fontId="25" fillId="0" borderId="1" xfId="1" applyFont="1" applyFill="1" applyBorder="1" applyAlignment="1">
      <alignment wrapText="1"/>
    </xf>
    <xf numFmtId="0" fontId="8" fillId="0" borderId="1" xfId="1" applyBorder="1" applyAlignment="1">
      <alignment horizontal="center"/>
    </xf>
    <xf numFmtId="4" fontId="8" fillId="0" borderId="0" xfId="1" applyNumberFormat="1" applyFill="1"/>
    <xf numFmtId="0" fontId="1" fillId="13" borderId="1" xfId="1" applyFont="1" applyFill="1" applyBorder="1" applyAlignment="1">
      <alignment wrapText="1"/>
    </xf>
    <xf numFmtId="0" fontId="8" fillId="0" borderId="1" xfId="1" applyBorder="1" applyAlignment="1">
      <alignment horizontal="center"/>
    </xf>
    <xf numFmtId="0" fontId="1" fillId="0" borderId="14" xfId="1" applyFont="1" applyBorder="1"/>
    <xf numFmtId="0" fontId="1" fillId="0" borderId="13" xfId="1" applyFont="1" applyBorder="1" applyAlignment="1">
      <alignment horizontal="center"/>
    </xf>
    <xf numFmtId="0" fontId="8" fillId="0" borderId="13" xfId="1" applyBorder="1" applyAlignment="1">
      <alignment horizontal="center"/>
    </xf>
    <xf numFmtId="0" fontId="8" fillId="4" borderId="13" xfId="1" applyFill="1" applyBorder="1" applyAlignment="1">
      <alignment horizontal="center"/>
    </xf>
    <xf numFmtId="4" fontId="8" fillId="0" borderId="13" xfId="1" applyNumberFormat="1" applyBorder="1" applyAlignment="1">
      <alignment horizontal="center"/>
    </xf>
    <xf numFmtId="4" fontId="1" fillId="0" borderId="13" xfId="1" applyNumberFormat="1" applyFont="1" applyBorder="1" applyAlignment="1">
      <alignment horizontal="center"/>
    </xf>
    <xf numFmtId="4" fontId="1" fillId="0" borderId="12" xfId="1" applyNumberFormat="1" applyFont="1" applyBorder="1" applyAlignment="1">
      <alignment horizontal="center"/>
    </xf>
    <xf numFmtId="0" fontId="1" fillId="0" borderId="6" xfId="1" applyFont="1" applyBorder="1" applyAlignment="1">
      <alignment horizontal="left" vertical="center" wrapText="1"/>
    </xf>
    <xf numFmtId="4" fontId="64" fillId="13" borderId="0" xfId="0" applyNumberFormat="1" applyFont="1" applyFill="1"/>
    <xf numFmtId="0" fontId="64" fillId="13" borderId="0" xfId="0" applyFont="1" applyFill="1"/>
    <xf numFmtId="0" fontId="1" fillId="0" borderId="0" xfId="1" applyFont="1" applyAlignment="1" applyProtection="1">
      <protection locked="0"/>
    </xf>
    <xf numFmtId="0" fontId="0" fillId="0" borderId="0" xfId="0" applyAlignment="1"/>
    <xf numFmtId="0" fontId="1" fillId="0" borderId="0" xfId="1" applyFont="1" applyBorder="1" applyAlignment="1">
      <alignment horizontal="center"/>
    </xf>
    <xf numFmtId="2" fontId="1" fillId="0" borderId="0" xfId="1" applyNumberFormat="1" applyFont="1" applyAlignment="1">
      <alignment wrapText="1"/>
    </xf>
    <xf numFmtId="2" fontId="60" fillId="0" borderId="19" xfId="1" applyNumberFormat="1" applyFont="1" applyFill="1" applyBorder="1"/>
    <xf numFmtId="0" fontId="0" fillId="13" borderId="46" xfId="0" applyFill="1" applyBorder="1" applyAlignment="1">
      <alignment horizontal="left"/>
    </xf>
    <xf numFmtId="0" fontId="39" fillId="0" borderId="0" xfId="0" applyFont="1"/>
    <xf numFmtId="0" fontId="49" fillId="0" borderId="0" xfId="0" applyFont="1"/>
    <xf numFmtId="0" fontId="49" fillId="0" borderId="1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3" fillId="0" borderId="11" xfId="0" applyFont="1" applyBorder="1" applyAlignment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9" fillId="0" borderId="0" xfId="0" applyFont="1" applyFill="1"/>
    <xf numFmtId="0" fontId="49" fillId="0" borderId="0" xfId="0" applyFont="1" applyFill="1"/>
    <xf numFmtId="0" fontId="49" fillId="0" borderId="1" xfId="0" applyFont="1" applyFill="1" applyBorder="1" applyAlignment="1">
      <alignment horizontal="center" vertical="center" wrapText="1"/>
    </xf>
    <xf numFmtId="0" fontId="49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9" fillId="0" borderId="33" xfId="0" applyFont="1" applyFill="1" applyBorder="1" applyAlignment="1"/>
    <xf numFmtId="0" fontId="39" fillId="0" borderId="1" xfId="0" applyFont="1" applyFill="1" applyBorder="1"/>
    <xf numFmtId="0" fontId="29" fillId="0" borderId="1" xfId="0" applyFont="1" applyFill="1" applyBorder="1"/>
    <xf numFmtId="0" fontId="4" fillId="0" borderId="1" xfId="0" applyFont="1" applyFill="1" applyBorder="1"/>
    <xf numFmtId="0" fontId="3" fillId="0" borderId="0" xfId="0" applyFont="1" applyFill="1"/>
    <xf numFmtId="0" fontId="3" fillId="0" borderId="0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/>
    <xf numFmtId="2" fontId="4" fillId="0" borderId="1" xfId="0" applyNumberFormat="1" applyFont="1" applyFill="1" applyBorder="1" applyAlignment="1"/>
    <xf numFmtId="9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3" fillId="0" borderId="15" xfId="0" applyFont="1" applyFill="1" applyBorder="1"/>
    <xf numFmtId="3" fontId="4" fillId="0" borderId="1" xfId="0" applyNumberFormat="1" applyFont="1" applyFill="1" applyBorder="1"/>
    <xf numFmtId="0" fontId="1" fillId="0" borderId="1" xfId="1" applyFont="1" applyFill="1" applyBorder="1" applyAlignment="1">
      <alignment horizontal="right" wrapText="1"/>
    </xf>
    <xf numFmtId="2" fontId="2" fillId="0" borderId="5" xfId="1" applyNumberFormat="1" applyFont="1" applyFill="1" applyBorder="1"/>
    <xf numFmtId="0" fontId="2" fillId="0" borderId="9" xfId="1" applyFont="1" applyFill="1" applyBorder="1" applyAlignment="1">
      <alignment horizontal="left" vertical="center" wrapText="1"/>
    </xf>
    <xf numFmtId="0" fontId="17" fillId="0" borderId="0" xfId="1" applyFont="1" applyBorder="1" applyAlignment="1">
      <alignment horizontal="center" vertical="top" wrapText="1"/>
    </xf>
    <xf numFmtId="0" fontId="20" fillId="0" borderId="0" xfId="1" applyFont="1" applyAlignment="1">
      <alignment horizontal="center" vertical="center"/>
    </xf>
    <xf numFmtId="0" fontId="11" fillId="0" borderId="0" xfId="1" applyFont="1" applyBorder="1" applyAlignment="1">
      <alignment horizontal="center" wrapText="1"/>
    </xf>
    <xf numFmtId="0" fontId="9" fillId="0" borderId="0" xfId="1" applyFont="1" applyBorder="1" applyAlignment="1">
      <alignment horizontal="center" wrapText="1"/>
    </xf>
    <xf numFmtId="0" fontId="9" fillId="0" borderId="0" xfId="1" applyFont="1" applyBorder="1" applyAlignment="1">
      <alignment horizontal="center" vertical="top" wrapText="1"/>
    </xf>
    <xf numFmtId="0" fontId="11" fillId="0" borderId="0" xfId="1" applyFont="1" applyBorder="1" applyAlignment="1">
      <alignment horizontal="center" vertical="top" wrapText="1"/>
    </xf>
    <xf numFmtId="0" fontId="19" fillId="0" borderId="0" xfId="1" applyFont="1" applyBorder="1" applyAlignment="1">
      <alignment horizontal="left" vertical="center" wrapText="1"/>
    </xf>
    <xf numFmtId="16" fontId="9" fillId="0" borderId="0" xfId="1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32" fillId="0" borderId="0" xfId="0" applyFont="1" applyBorder="1" applyAlignment="1">
      <alignment horizont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1" fillId="0" borderId="0" xfId="1" applyFont="1" applyAlignment="1" applyProtection="1">
      <protection locked="0"/>
    </xf>
    <xf numFmtId="0" fontId="0" fillId="0" borderId="0" xfId="0" applyAlignment="1"/>
    <xf numFmtId="0" fontId="1" fillId="0" borderId="1" xfId="1" applyFont="1" applyBorder="1" applyAlignment="1">
      <alignment wrapText="1"/>
    </xf>
    <xf numFmtId="168" fontId="2" fillId="0" borderId="1" xfId="1" applyNumberFormat="1" applyFont="1" applyBorder="1"/>
    <xf numFmtId="0" fontId="0" fillId="0" borderId="0" xfId="0" applyAlignment="1"/>
    <xf numFmtId="0" fontId="67" fillId="0" borderId="13" xfId="0" applyFont="1" applyFill="1" applyBorder="1" applyAlignment="1">
      <alignment horizontal="center" vertical="center"/>
    </xf>
    <xf numFmtId="0" fontId="67" fillId="0" borderId="34" xfId="0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/>
    </xf>
    <xf numFmtId="0" fontId="66" fillId="0" borderId="28" xfId="0" applyFont="1" applyFill="1" applyBorder="1" applyAlignment="1">
      <alignment horizontal="left" wrapText="1"/>
    </xf>
    <xf numFmtId="0" fontId="66" fillId="0" borderId="15" xfId="0" applyFont="1" applyFill="1" applyBorder="1" applyAlignment="1">
      <alignment horizontal="left" wrapText="1"/>
    </xf>
    <xf numFmtId="0" fontId="49" fillId="0" borderId="1" xfId="0" applyFont="1" applyBorder="1" applyAlignment="1">
      <alignment horizontal="center" vertical="center"/>
    </xf>
    <xf numFmtId="0" fontId="49" fillId="0" borderId="1" xfId="0" applyFont="1" applyFill="1" applyBorder="1" applyAlignment="1">
      <alignment horizontal="center" vertical="center"/>
    </xf>
    <xf numFmtId="0" fontId="49" fillId="0" borderId="28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/>
    </xf>
    <xf numFmtId="0" fontId="49" fillId="0" borderId="23" xfId="0" quotePrefix="1" applyFont="1" applyBorder="1" applyAlignment="1">
      <alignment horizontal="center" vertical="center" wrapText="1"/>
    </xf>
    <xf numFmtId="0" fontId="49" fillId="0" borderId="31" xfId="0" quotePrefix="1" applyFont="1" applyBorder="1" applyAlignment="1">
      <alignment horizontal="center" vertical="center" wrapText="1"/>
    </xf>
    <xf numFmtId="0" fontId="49" fillId="0" borderId="27" xfId="0" quotePrefix="1" applyFont="1" applyBorder="1" applyAlignment="1">
      <alignment horizontal="center" vertical="center" wrapText="1"/>
    </xf>
    <xf numFmtId="0" fontId="49" fillId="0" borderId="32" xfId="0" quotePrefix="1" applyFont="1" applyBorder="1" applyAlignment="1">
      <alignment horizontal="center" vertical="center" wrapText="1"/>
    </xf>
    <xf numFmtId="0" fontId="49" fillId="0" borderId="30" xfId="0" quotePrefix="1" applyFont="1" applyBorder="1" applyAlignment="1">
      <alignment horizontal="center" vertical="center" wrapText="1"/>
    </xf>
    <xf numFmtId="0" fontId="49" fillId="0" borderId="33" xfId="0" quotePrefix="1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/>
    </xf>
    <xf numFmtId="0" fontId="49" fillId="0" borderId="34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9" fillId="0" borderId="28" xfId="0" applyFont="1" applyFill="1" applyBorder="1" applyAlignment="1">
      <alignment horizontal="left" wrapText="1"/>
    </xf>
    <xf numFmtId="0" fontId="49" fillId="0" borderId="15" xfId="0" applyFont="1" applyFill="1" applyBorder="1" applyAlignment="1">
      <alignment horizontal="left" wrapText="1"/>
    </xf>
    <xf numFmtId="0" fontId="49" fillId="0" borderId="23" xfId="0" applyFont="1" applyFill="1" applyBorder="1" applyAlignment="1">
      <alignment horizontal="center" vertical="center"/>
    </xf>
    <xf numFmtId="0" fontId="49" fillId="0" borderId="31" xfId="0" applyFont="1" applyFill="1" applyBorder="1" applyAlignment="1">
      <alignment horizontal="center" vertical="center"/>
    </xf>
    <xf numFmtId="0" fontId="49" fillId="0" borderId="27" xfId="0" applyFont="1" applyFill="1" applyBorder="1" applyAlignment="1">
      <alignment horizontal="center" vertical="center"/>
    </xf>
    <xf numFmtId="0" fontId="49" fillId="0" borderId="32" xfId="0" applyFont="1" applyFill="1" applyBorder="1" applyAlignment="1">
      <alignment horizontal="center" vertical="center"/>
    </xf>
    <xf numFmtId="0" fontId="49" fillId="0" borderId="30" xfId="0" applyFont="1" applyFill="1" applyBorder="1" applyAlignment="1">
      <alignment horizontal="center" vertical="center"/>
    </xf>
    <xf numFmtId="0" fontId="49" fillId="0" borderId="33" xfId="0" applyFont="1" applyFill="1" applyBorder="1" applyAlignment="1">
      <alignment horizontal="center" vertical="center"/>
    </xf>
    <xf numFmtId="0" fontId="49" fillId="0" borderId="1" xfId="0" applyFont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" xfId="0" applyFont="1" applyFill="1" applyBorder="1" applyAlignment="1">
      <alignment horizontal="center" vertical="center" wrapText="1"/>
    </xf>
    <xf numFmtId="0" fontId="49" fillId="0" borderId="28" xfId="0" applyFont="1" applyFill="1" applyBorder="1" applyAlignment="1">
      <alignment horizontal="center" vertical="center" wrapText="1"/>
    </xf>
    <xf numFmtId="0" fontId="49" fillId="0" borderId="29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28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4" fillId="0" borderId="28" xfId="0" applyFont="1" applyBorder="1" applyAlignment="1">
      <alignment horizontal="left" wrapText="1"/>
    </xf>
    <xf numFmtId="0" fontId="4" fillId="0" borderId="29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25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left" vertical="top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wrapText="1"/>
    </xf>
    <xf numFmtId="0" fontId="2" fillId="0" borderId="26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4" fillId="0" borderId="29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28" xfId="0" quotePrefix="1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3" fillId="13" borderId="0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0" fontId="4" fillId="0" borderId="28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25" xfId="0" applyFont="1" applyFill="1" applyBorder="1" applyAlignment="1">
      <alignment horizontal="left" wrapText="1"/>
    </xf>
    <xf numFmtId="0" fontId="3" fillId="0" borderId="3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0" xfId="0" applyFont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0" fontId="3" fillId="0" borderId="33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4" fillId="0" borderId="28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4" fillId="0" borderId="28" xfId="0" quotePrefix="1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 wrapText="1"/>
    </xf>
    <xf numFmtId="0" fontId="4" fillId="0" borderId="2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/>
    </xf>
    <xf numFmtId="0" fontId="7" fillId="0" borderId="25" xfId="0" applyFont="1" applyBorder="1" applyAlignment="1">
      <alignment horizontal="left" wrapText="1"/>
    </xf>
    <xf numFmtId="0" fontId="6" fillId="0" borderId="25" xfId="0" applyFont="1" applyBorder="1" applyAlignment="1">
      <alignment horizontal="center"/>
    </xf>
    <xf numFmtId="0" fontId="7" fillId="0" borderId="25" xfId="0" applyFont="1" applyBorder="1" applyAlignment="1">
      <alignment horizontal="left"/>
    </xf>
    <xf numFmtId="0" fontId="3" fillId="0" borderId="33" xfId="0" applyFont="1" applyFill="1" applyBorder="1" applyAlignment="1">
      <alignment horizontal="center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left" wrapText="1"/>
    </xf>
    <xf numFmtId="0" fontId="4" fillId="0" borderId="29" xfId="0" applyFont="1" applyFill="1" applyBorder="1" applyAlignment="1">
      <alignment horizontal="left" wrapText="1"/>
    </xf>
    <xf numFmtId="0" fontId="4" fillId="0" borderId="28" xfId="0" applyFont="1" applyBorder="1" applyAlignment="1">
      <alignment horizontal="center" wrapText="1"/>
    </xf>
    <xf numFmtId="0" fontId="27" fillId="0" borderId="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4" fillId="0" borderId="2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25" xfId="0" applyFont="1" applyBorder="1" applyAlignment="1">
      <alignment horizontal="left"/>
    </xf>
    <xf numFmtId="0" fontId="63" fillId="0" borderId="28" xfId="0" applyFont="1" applyBorder="1" applyAlignment="1">
      <alignment horizontal="left" vertical="top" wrapText="1"/>
    </xf>
    <xf numFmtId="0" fontId="63" fillId="0" borderId="29" xfId="0" applyFont="1" applyBorder="1" applyAlignment="1">
      <alignment horizontal="left" vertical="top"/>
    </xf>
    <xf numFmtId="0" fontId="63" fillId="0" borderId="15" xfId="0" applyFont="1" applyBorder="1" applyAlignment="1">
      <alignment horizontal="left" vertical="top"/>
    </xf>
    <xf numFmtId="0" fontId="1" fillId="0" borderId="26" xfId="0" applyFont="1" applyBorder="1" applyAlignment="1">
      <alignment horizontal="center" wrapText="1"/>
    </xf>
    <xf numFmtId="0" fontId="28" fillId="13" borderId="25" xfId="0" applyFont="1" applyFill="1" applyBorder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32" xfId="0" applyFont="1" applyBorder="1" applyAlignment="1">
      <alignment horizontal="right"/>
    </xf>
    <xf numFmtId="49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17" fillId="0" borderId="27" xfId="1" applyFont="1" applyBorder="1" applyAlignment="1">
      <alignment horizontal="center" vertical="top" wrapText="1"/>
    </xf>
    <xf numFmtId="0" fontId="17" fillId="0" borderId="0" xfId="1" applyFont="1" applyBorder="1" applyAlignment="1">
      <alignment horizontal="center" vertical="top" wrapText="1"/>
    </xf>
    <xf numFmtId="0" fontId="18" fillId="0" borderId="1" xfId="1" applyFont="1" applyBorder="1" applyAlignment="1">
      <alignment horizontal="center" wrapText="1"/>
    </xf>
    <xf numFmtId="0" fontId="20" fillId="0" borderId="0" xfId="1" applyFont="1" applyAlignment="1">
      <alignment horizontal="center" vertical="center"/>
    </xf>
    <xf numFmtId="0" fontId="9" fillId="0" borderId="34" xfId="1" applyFont="1" applyBorder="1" applyAlignment="1">
      <alignment horizontal="center" vertical="top" wrapText="1"/>
    </xf>
    <xf numFmtId="0" fontId="9" fillId="0" borderId="0" xfId="1" applyFont="1" applyBorder="1" applyAlignment="1">
      <alignment horizontal="center"/>
    </xf>
    <xf numFmtId="0" fontId="9" fillId="0" borderId="32" xfId="1" applyFont="1" applyBorder="1" applyAlignment="1">
      <alignment horizontal="center"/>
    </xf>
    <xf numFmtId="0" fontId="11" fillId="0" borderId="22" xfId="1" applyFont="1" applyBorder="1" applyAlignment="1">
      <alignment horizontal="center" vertical="top" wrapText="1"/>
    </xf>
    <xf numFmtId="0" fontId="11" fillId="0" borderId="39" xfId="1" applyFont="1" applyBorder="1" applyAlignment="1">
      <alignment horizontal="center" vertical="top" wrapText="1"/>
    </xf>
    <xf numFmtId="0" fontId="17" fillId="0" borderId="22" xfId="1" applyFont="1" applyBorder="1" applyAlignment="1">
      <alignment horizontal="center" vertical="top" wrapText="1"/>
    </xf>
    <xf numFmtId="0" fontId="17" fillId="0" borderId="39" xfId="1" applyFont="1" applyBorder="1" applyAlignment="1">
      <alignment horizontal="center" vertical="top" wrapText="1"/>
    </xf>
    <xf numFmtId="0" fontId="9" fillId="0" borderId="22" xfId="1" applyFont="1" applyBorder="1" applyAlignment="1">
      <alignment horizontal="center" vertical="top" wrapText="1"/>
    </xf>
    <xf numFmtId="0" fontId="9" fillId="0" borderId="39" xfId="1" applyFont="1" applyBorder="1" applyAlignment="1">
      <alignment horizontal="center" vertical="top" wrapText="1"/>
    </xf>
    <xf numFmtId="0" fontId="19" fillId="0" borderId="25" xfId="1" applyFont="1" applyBorder="1" applyAlignment="1">
      <alignment horizontal="left" vertical="center" wrapText="1"/>
    </xf>
    <xf numFmtId="0" fontId="11" fillId="0" borderId="36" xfId="1" applyFont="1" applyBorder="1" applyAlignment="1">
      <alignment horizontal="center" vertical="top" wrapText="1"/>
    </xf>
    <xf numFmtId="0" fontId="11" fillId="0" borderId="37" xfId="1" applyFont="1" applyBorder="1" applyAlignment="1">
      <alignment horizontal="center" vertical="top" wrapText="1"/>
    </xf>
    <xf numFmtId="0" fontId="11" fillId="0" borderId="38" xfId="1" applyFont="1" applyBorder="1" applyAlignment="1">
      <alignment horizontal="center" vertical="top" wrapText="1"/>
    </xf>
    <xf numFmtId="0" fontId="11" fillId="0" borderId="25" xfId="1" applyFont="1" applyBorder="1" applyAlignment="1">
      <alignment horizontal="center" wrapText="1"/>
    </xf>
    <xf numFmtId="0" fontId="9" fillId="0" borderId="36" xfId="1" applyFont="1" applyBorder="1" applyAlignment="1">
      <alignment horizontal="center" vertical="top" wrapText="1"/>
    </xf>
    <xf numFmtId="0" fontId="9" fillId="0" borderId="37" xfId="1" applyFont="1" applyBorder="1" applyAlignment="1">
      <alignment horizontal="center" vertical="top" wrapText="1"/>
    </xf>
    <xf numFmtId="0" fontId="1" fillId="0" borderId="0" xfId="1" applyFont="1" applyAlignment="1" applyProtection="1">
      <protection locked="0"/>
    </xf>
    <xf numFmtId="0" fontId="0" fillId="0" borderId="0" xfId="0" applyAlignment="1"/>
    <xf numFmtId="0" fontId="9" fillId="0" borderId="35" xfId="1" applyFont="1" applyBorder="1" applyAlignment="1">
      <alignment horizontal="center" wrapText="1"/>
    </xf>
    <xf numFmtId="16" fontId="9" fillId="0" borderId="35" xfId="1" applyNumberFormat="1" applyFont="1" applyBorder="1" applyAlignment="1">
      <alignment horizontal="center" vertical="top" wrapText="1"/>
    </xf>
    <xf numFmtId="16" fontId="9" fillId="0" borderId="39" xfId="1" applyNumberFormat="1" applyFont="1" applyBorder="1" applyAlignment="1">
      <alignment horizontal="center" vertical="top" wrapText="1"/>
    </xf>
    <xf numFmtId="0" fontId="17" fillId="0" borderId="36" xfId="1" applyFont="1" applyBorder="1" applyAlignment="1">
      <alignment horizontal="center" vertical="top" wrapText="1"/>
    </xf>
    <xf numFmtId="0" fontId="17" fillId="0" borderId="37" xfId="1" applyFont="1" applyBorder="1" applyAlignment="1">
      <alignment horizontal="center" vertical="top" wrapText="1"/>
    </xf>
    <xf numFmtId="0" fontId="32" fillId="0" borderId="37" xfId="0" applyFont="1" applyBorder="1" applyAlignment="1">
      <alignment horizontal="center"/>
    </xf>
    <xf numFmtId="0" fontId="9" fillId="0" borderId="37" xfId="1" applyFont="1" applyBorder="1" applyAlignment="1">
      <alignment horizontal="center" wrapText="1"/>
    </xf>
    <xf numFmtId="0" fontId="0" fillId="0" borderId="37" xfId="0" applyBorder="1" applyAlignment="1">
      <alignment horizontal="center"/>
    </xf>
    <xf numFmtId="0" fontId="9" fillId="0" borderId="24" xfId="1" applyFont="1" applyBorder="1" applyAlignment="1">
      <alignment horizontal="center" vertical="top" wrapText="1"/>
    </xf>
    <xf numFmtId="0" fontId="9" fillId="0" borderId="44" xfId="1" applyFont="1" applyBorder="1" applyAlignment="1">
      <alignment horizontal="center" vertical="top" wrapText="1"/>
    </xf>
    <xf numFmtId="0" fontId="0" fillId="0" borderId="44" xfId="0" applyBorder="1" applyAlignment="1">
      <alignment horizontal="center"/>
    </xf>
    <xf numFmtId="0" fontId="4" fillId="0" borderId="8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1" fillId="0" borderId="0" xfId="1" applyFont="1" applyAlignment="1">
      <alignment horizontal="right" wrapText="1"/>
    </xf>
    <xf numFmtId="0" fontId="11" fillId="0" borderId="0" xfId="1" applyFont="1" applyBorder="1" applyAlignment="1">
      <alignment horizontal="center" wrapText="1"/>
    </xf>
    <xf numFmtId="0" fontId="10" fillId="0" borderId="0" xfId="1" applyFont="1" applyBorder="1" applyAlignment="1">
      <alignment horizontal="center" wrapText="1"/>
    </xf>
    <xf numFmtId="0" fontId="9" fillId="0" borderId="0" xfId="1" applyFont="1" applyBorder="1" applyAlignment="1">
      <alignment horizontal="center" wrapText="1"/>
    </xf>
    <xf numFmtId="0" fontId="9" fillId="0" borderId="0" xfId="1" applyFont="1" applyAlignment="1">
      <alignment horizontal="center" wrapText="1"/>
    </xf>
    <xf numFmtId="0" fontId="41" fillId="0" borderId="24" xfId="1" applyFont="1" applyBorder="1" applyAlignment="1">
      <alignment horizontal="center" wrapText="1"/>
    </xf>
    <xf numFmtId="0" fontId="41" fillId="0" borderId="49" xfId="1" applyFont="1" applyBorder="1" applyAlignment="1">
      <alignment horizontal="center" wrapText="1"/>
    </xf>
    <xf numFmtId="4" fontId="41" fillId="0" borderId="3" xfId="1" applyNumberFormat="1" applyFont="1" applyBorder="1" applyAlignment="1">
      <alignment wrapText="1"/>
    </xf>
    <xf numFmtId="0" fontId="41" fillId="0" borderId="2" xfId="1" applyFont="1" applyBorder="1" applyAlignment="1">
      <alignment wrapText="1"/>
    </xf>
    <xf numFmtId="0" fontId="43" fillId="0" borderId="0" xfId="1" applyFont="1" applyAlignment="1">
      <alignment horizontal="center" wrapText="1"/>
    </xf>
    <xf numFmtId="0" fontId="1" fillId="0" borderId="1" xfId="1" applyFont="1" applyBorder="1" applyAlignment="1">
      <alignment wrapText="1"/>
    </xf>
    <xf numFmtId="0" fontId="1" fillId="0" borderId="5" xfId="1" applyFont="1" applyBorder="1" applyAlignment="1">
      <alignment wrapText="1"/>
    </xf>
    <xf numFmtId="4" fontId="1" fillId="7" borderId="28" xfId="1" applyNumberFormat="1" applyFont="1" applyFill="1" applyBorder="1" applyAlignment="1">
      <alignment horizontal="center" wrapText="1"/>
    </xf>
    <xf numFmtId="4" fontId="1" fillId="7" borderId="40" xfId="1" applyNumberFormat="1" applyFont="1" applyFill="1" applyBorder="1" applyAlignment="1">
      <alignment horizontal="center" wrapText="1"/>
    </xf>
    <xf numFmtId="0" fontId="1" fillId="0" borderId="3" xfId="1" applyFont="1" applyBorder="1" applyAlignment="1">
      <alignment wrapText="1"/>
    </xf>
    <xf numFmtId="0" fontId="1" fillId="0" borderId="2" xfId="1" applyFont="1" applyBorder="1" applyAlignment="1">
      <alignment wrapText="1"/>
    </xf>
    <xf numFmtId="0" fontId="4" fillId="0" borderId="42" xfId="1" applyFont="1" applyBorder="1" applyAlignment="1">
      <alignment horizontal="center" vertical="center" wrapText="1"/>
    </xf>
    <xf numFmtId="0" fontId="4" fillId="0" borderId="43" xfId="1" applyFont="1" applyBorder="1" applyAlignment="1">
      <alignment horizontal="center" vertical="center" wrapText="1"/>
    </xf>
    <xf numFmtId="0" fontId="1" fillId="0" borderId="42" xfId="1" applyFont="1" applyBorder="1" applyAlignment="1">
      <alignment horizontal="center" vertical="top" wrapText="1"/>
    </xf>
    <xf numFmtId="0" fontId="0" fillId="0" borderId="48" xfId="0" applyBorder="1"/>
    <xf numFmtId="0" fontId="4" fillId="0" borderId="8" xfId="1" applyFont="1" applyBorder="1" applyAlignment="1">
      <alignment horizontal="center" vertical="top" wrapText="1"/>
    </xf>
    <xf numFmtId="0" fontId="4" fillId="0" borderId="7" xfId="1" applyFont="1" applyBorder="1" applyAlignment="1">
      <alignment horizontal="center" vertical="top" wrapText="1"/>
    </xf>
    <xf numFmtId="4" fontId="1" fillId="0" borderId="28" xfId="1" applyNumberFormat="1" applyFont="1" applyBorder="1" applyAlignment="1">
      <alignment horizontal="center" wrapText="1"/>
    </xf>
    <xf numFmtId="0" fontId="1" fillId="0" borderId="15" xfId="1" applyFont="1" applyBorder="1" applyAlignment="1">
      <alignment horizontal="center" wrapText="1"/>
    </xf>
    <xf numFmtId="4" fontId="1" fillId="0" borderId="1" xfId="1" applyNumberFormat="1" applyFont="1" applyBorder="1" applyAlignment="1">
      <alignment wrapText="1"/>
    </xf>
    <xf numFmtId="4" fontId="41" fillId="0" borderId="24" xfId="1" applyNumberFormat="1" applyFont="1" applyBorder="1" applyAlignment="1">
      <alignment horizontal="center" wrapText="1"/>
    </xf>
    <xf numFmtId="0" fontId="41" fillId="0" borderId="28" xfId="1" applyFont="1" applyBorder="1" applyAlignment="1">
      <alignment horizontal="center" wrapText="1"/>
    </xf>
    <xf numFmtId="0" fontId="41" fillId="0" borderId="15" xfId="1" applyFont="1" applyBorder="1" applyAlignment="1">
      <alignment horizontal="center" wrapText="1"/>
    </xf>
    <xf numFmtId="4" fontId="41" fillId="0" borderId="1" xfId="1" applyNumberFormat="1" applyFont="1" applyBorder="1" applyAlignment="1">
      <alignment wrapText="1"/>
    </xf>
    <xf numFmtId="0" fontId="41" fillId="0" borderId="5" xfId="1" applyFont="1" applyBorder="1" applyAlignment="1">
      <alignment wrapText="1"/>
    </xf>
    <xf numFmtId="4" fontId="1" fillId="7" borderId="24" xfId="1" applyNumberFormat="1" applyFont="1" applyFill="1" applyBorder="1" applyAlignment="1">
      <alignment horizontal="center" wrapText="1"/>
    </xf>
    <xf numFmtId="4" fontId="1" fillId="7" borderId="41" xfId="1" applyNumberFormat="1" applyFont="1" applyFill="1" applyBorder="1" applyAlignment="1">
      <alignment horizontal="center" wrapText="1"/>
    </xf>
    <xf numFmtId="0" fontId="41" fillId="0" borderId="42" xfId="1" applyFont="1" applyBorder="1" applyAlignment="1">
      <alignment horizontal="center" vertical="top" wrapText="1"/>
    </xf>
    <xf numFmtId="0" fontId="42" fillId="0" borderId="48" xfId="0" applyFont="1" applyBorder="1"/>
    <xf numFmtId="0" fontId="44" fillId="0" borderId="8" xfId="1" applyFont="1" applyBorder="1" applyAlignment="1">
      <alignment horizontal="center" vertical="top" wrapText="1"/>
    </xf>
    <xf numFmtId="0" fontId="44" fillId="0" borderId="7" xfId="1" applyFont="1" applyBorder="1" applyAlignment="1">
      <alignment horizontal="center" vertical="top" wrapText="1"/>
    </xf>
    <xf numFmtId="4" fontId="41" fillId="0" borderId="24" xfId="1" applyNumberFormat="1" applyFont="1" applyBorder="1" applyAlignment="1">
      <alignment wrapText="1"/>
    </xf>
    <xf numFmtId="4" fontId="41" fillId="0" borderId="41" xfId="1" applyNumberFormat="1" applyFont="1" applyBorder="1" applyAlignment="1">
      <alignment wrapText="1"/>
    </xf>
    <xf numFmtId="0" fontId="4" fillId="0" borderId="0" xfId="1" applyFont="1" applyBorder="1" applyAlignment="1">
      <alignment horizontal="center" wrapText="1"/>
    </xf>
    <xf numFmtId="0" fontId="2" fillId="0" borderId="0" xfId="1" applyFont="1" applyAlignment="1">
      <alignment horizontal="center" wrapText="1"/>
    </xf>
    <xf numFmtId="0" fontId="1" fillId="0" borderId="0" xfId="1" applyFont="1" applyAlignment="1">
      <alignment horizontal="center"/>
    </xf>
    <xf numFmtId="0" fontId="31" fillId="0" borderId="0" xfId="1" applyFont="1" applyBorder="1" applyAlignment="1">
      <alignment horizontal="center"/>
    </xf>
    <xf numFmtId="0" fontId="14" fillId="0" borderId="0" xfId="1" applyFont="1" applyAlignment="1">
      <alignment horizontal="center" wrapText="1"/>
    </xf>
    <xf numFmtId="0" fontId="14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8" fillId="0" borderId="0" xfId="1" applyAlignment="1">
      <alignment horizontal="center"/>
    </xf>
    <xf numFmtId="0" fontId="11" fillId="0" borderId="0" xfId="1" applyFont="1" applyBorder="1" applyAlignment="1">
      <alignment horizontal="center"/>
    </xf>
    <xf numFmtId="0" fontId="11" fillId="0" borderId="29" xfId="1" applyFont="1" applyBorder="1" applyAlignment="1">
      <alignment horizontal="center" wrapText="1"/>
    </xf>
    <xf numFmtId="0" fontId="9" fillId="0" borderId="29" xfId="1" applyFont="1" applyBorder="1" applyAlignment="1">
      <alignment horizontal="center" wrapText="1"/>
    </xf>
    <xf numFmtId="0" fontId="9" fillId="0" borderId="15" xfId="1" applyFont="1" applyBorder="1" applyAlignment="1">
      <alignment horizontal="center" wrapText="1"/>
    </xf>
    <xf numFmtId="0" fontId="16" fillId="0" borderId="0" xfId="1" applyFont="1" applyAlignment="1">
      <alignment horizontal="center" wrapText="1"/>
    </xf>
    <xf numFmtId="0" fontId="0" fillId="0" borderId="0" xfId="0" applyAlignment="1">
      <alignment horizontal="center"/>
    </xf>
    <xf numFmtId="0" fontId="17" fillId="0" borderId="0" xfId="1" applyFont="1" applyAlignment="1">
      <alignment horizontal="center" wrapText="1"/>
    </xf>
    <xf numFmtId="0" fontId="62" fillId="0" borderId="1" xfId="1" applyFont="1" applyBorder="1" applyAlignment="1">
      <alignment horizontal="center"/>
    </xf>
    <xf numFmtId="0" fontId="36" fillId="0" borderId="1" xfId="1" applyFont="1" applyBorder="1" applyAlignment="1">
      <alignment horizontal="center"/>
    </xf>
    <xf numFmtId="0" fontId="21" fillId="0" borderId="0" xfId="1" applyFont="1" applyFill="1" applyAlignment="1">
      <alignment horizontal="center"/>
    </xf>
    <xf numFmtId="0" fontId="8" fillId="14" borderId="0" xfId="1" applyFill="1" applyAlignment="1">
      <alignment horizontal="center"/>
    </xf>
    <xf numFmtId="0" fontId="22" fillId="0" borderId="0" xfId="1" applyFont="1" applyAlignment="1">
      <alignment horizontal="center"/>
    </xf>
    <xf numFmtId="0" fontId="8" fillId="0" borderId="1" xfId="1" applyBorder="1" applyAlignment="1">
      <alignment horizontal="center"/>
    </xf>
    <xf numFmtId="0" fontId="34" fillId="0" borderId="1" xfId="0" applyFont="1" applyBorder="1" applyAlignment="1">
      <alignment horizontal="left" wrapText="1"/>
    </xf>
    <xf numFmtId="0" fontId="34" fillId="0" borderId="13" xfId="0" applyFont="1" applyBorder="1" applyAlignment="1">
      <alignment horizontal="center" wrapText="1"/>
    </xf>
    <xf numFmtId="0" fontId="34" fillId="0" borderId="11" xfId="0" applyFont="1" applyBorder="1" applyAlignment="1">
      <alignment horizontal="center" wrapText="1"/>
    </xf>
    <xf numFmtId="0" fontId="33" fillId="0" borderId="0" xfId="0" applyFont="1" applyAlignment="1" applyProtection="1">
      <alignment horizontal="center"/>
      <protection locked="0"/>
    </xf>
    <xf numFmtId="0" fontId="34" fillId="0" borderId="0" xfId="0" applyFont="1" applyAlignment="1" applyProtection="1">
      <alignment horizontal="center"/>
      <protection locked="0"/>
    </xf>
    <xf numFmtId="0" fontId="34" fillId="0" borderId="1" xfId="0" applyFont="1" applyBorder="1" applyAlignment="1">
      <alignment horizontal="center" wrapText="1"/>
    </xf>
    <xf numFmtId="0" fontId="1" fillId="0" borderId="0" xfId="1" applyFont="1" applyAlignment="1">
      <alignment horizontal="center" wrapText="1"/>
    </xf>
    <xf numFmtId="0" fontId="1" fillId="0" borderId="28" xfId="1" applyFont="1" applyBorder="1" applyAlignment="1">
      <alignment horizontal="center" wrapText="1"/>
    </xf>
    <xf numFmtId="4" fontId="1" fillId="0" borderId="28" xfId="1" applyNumberFormat="1" applyFont="1" applyBorder="1" applyAlignment="1">
      <alignment wrapText="1"/>
    </xf>
    <xf numFmtId="4" fontId="1" fillId="0" borderId="40" xfId="1" applyNumberFormat="1" applyFont="1" applyBorder="1" applyAlignment="1">
      <alignment wrapText="1"/>
    </xf>
    <xf numFmtId="0" fontId="1" fillId="0" borderId="24" xfId="1" applyFont="1" applyBorder="1" applyAlignment="1">
      <alignment horizontal="center" wrapText="1"/>
    </xf>
    <xf numFmtId="0" fontId="1" fillId="0" borderId="49" xfId="1" applyFont="1" applyBorder="1" applyAlignment="1">
      <alignment horizontal="center" wrapText="1"/>
    </xf>
    <xf numFmtId="0" fontId="1" fillId="0" borderId="48" xfId="1" applyFont="1" applyBorder="1" applyAlignment="1">
      <alignment horizontal="center" vertical="top" wrapText="1"/>
    </xf>
    <xf numFmtId="0" fontId="4" fillId="0" borderId="42" xfId="1" applyFont="1" applyBorder="1" applyAlignment="1">
      <alignment horizontal="center" vertical="top" wrapText="1"/>
    </xf>
    <xf numFmtId="0" fontId="4" fillId="0" borderId="43" xfId="1" applyFont="1" applyBorder="1" applyAlignment="1">
      <alignment horizontal="center" vertical="top" wrapText="1"/>
    </xf>
    <xf numFmtId="4" fontId="1" fillId="0" borderId="24" xfId="1" applyNumberFormat="1" applyFont="1" applyBorder="1" applyAlignment="1">
      <alignment wrapText="1"/>
    </xf>
    <xf numFmtId="4" fontId="1" fillId="0" borderId="41" xfId="1" applyNumberFormat="1" applyFont="1" applyBorder="1" applyAlignment="1">
      <alignment wrapText="1"/>
    </xf>
    <xf numFmtId="4" fontId="1" fillId="0" borderId="3" xfId="1" applyNumberFormat="1" applyFont="1" applyBorder="1" applyAlignment="1">
      <alignment wrapText="1"/>
    </xf>
    <xf numFmtId="4" fontId="1" fillId="0" borderId="2" xfId="1" applyNumberFormat="1" applyFont="1" applyBorder="1" applyAlignment="1">
      <alignment wrapText="1"/>
    </xf>
    <xf numFmtId="0" fontId="53" fillId="0" borderId="25" xfId="0" applyFont="1" applyBorder="1" applyAlignment="1">
      <alignment horizontal="center"/>
    </xf>
    <xf numFmtId="4" fontId="1" fillId="0" borderId="5" xfId="1" applyNumberFormat="1" applyFont="1" applyBorder="1" applyAlignment="1">
      <alignment wrapText="1"/>
    </xf>
    <xf numFmtId="0" fontId="52" fillId="0" borderId="25" xfId="0" applyFont="1" applyBorder="1" applyAlignment="1">
      <alignment horizontal="center" wrapText="1"/>
    </xf>
    <xf numFmtId="0" fontId="1" fillId="0" borderId="14" xfId="1" applyFont="1" applyBorder="1" applyAlignment="1">
      <alignment horizontal="center" wrapText="1"/>
    </xf>
    <xf numFmtId="0" fontId="1" fillId="0" borderId="50" xfId="1" applyFont="1" applyBorder="1" applyAlignment="1">
      <alignment horizontal="center" wrapText="1"/>
    </xf>
    <xf numFmtId="0" fontId="1" fillId="0" borderId="10" xfId="1" applyFont="1" applyBorder="1" applyAlignment="1">
      <alignment horizontal="center" wrapText="1"/>
    </xf>
    <xf numFmtId="0" fontId="57" fillId="0" borderId="25" xfId="1" applyFont="1" applyFill="1" applyBorder="1" applyAlignment="1">
      <alignment horizontal="center"/>
    </xf>
    <xf numFmtId="0" fontId="11" fillId="0" borderId="0" xfId="1" applyFont="1" applyFill="1" applyAlignment="1">
      <alignment horizontal="center" wrapText="1"/>
    </xf>
    <xf numFmtId="0" fontId="31" fillId="0" borderId="0" xfId="1" applyFont="1" applyFill="1" applyAlignment="1">
      <alignment horizontal="center" wrapText="1"/>
    </xf>
    <xf numFmtId="0" fontId="11" fillId="0" borderId="0" xfId="1" applyFont="1" applyFill="1" applyAlignment="1">
      <alignment horizontal="center"/>
    </xf>
    <xf numFmtId="0" fontId="13" fillId="0" borderId="0" xfId="1" applyFont="1" applyFill="1" applyAlignment="1">
      <alignment horizontal="center"/>
    </xf>
    <xf numFmtId="0" fontId="59" fillId="0" borderId="0" xfId="1" applyFont="1" applyAlignment="1">
      <alignment horizontal="center" wrapText="1"/>
    </xf>
    <xf numFmtId="0" fontId="20" fillId="0" borderId="0" xfId="1" applyFont="1" applyAlignment="1">
      <alignment horizontal="center"/>
    </xf>
    <xf numFmtId="0" fontId="11" fillId="0" borderId="0" xfId="1" applyFont="1" applyBorder="1" applyAlignment="1">
      <alignment horizontal="center" vertical="center" wrapText="1"/>
    </xf>
    <xf numFmtId="0" fontId="9" fillId="0" borderId="53" xfId="1" applyFont="1" applyBorder="1" applyAlignment="1">
      <alignment horizontal="center" vertical="top" wrapText="1"/>
    </xf>
    <xf numFmtId="0" fontId="9" fillId="0" borderId="52" xfId="1" applyFont="1" applyBorder="1" applyAlignment="1">
      <alignment horizontal="center" vertical="top" wrapText="1"/>
    </xf>
    <xf numFmtId="0" fontId="9" fillId="0" borderId="30" xfId="1" applyFont="1" applyBorder="1" applyAlignment="1">
      <alignment horizontal="center" vertical="top" wrapText="1"/>
    </xf>
    <xf numFmtId="0" fontId="9" fillId="0" borderId="25" xfId="1" applyFont="1" applyBorder="1" applyAlignment="1">
      <alignment horizontal="center" vertical="top" wrapText="1"/>
    </xf>
    <xf numFmtId="0" fontId="9" fillId="0" borderId="33" xfId="1" applyFont="1" applyBorder="1" applyAlignment="1">
      <alignment horizontal="center" vertical="top" wrapText="1"/>
    </xf>
    <xf numFmtId="0" fontId="9" fillId="0" borderId="26" xfId="1" applyFont="1" applyBorder="1" applyAlignment="1">
      <alignment horizontal="center" wrapText="1"/>
    </xf>
    <xf numFmtId="0" fontId="9" fillId="0" borderId="31" xfId="1" applyFont="1" applyBorder="1" applyAlignment="1">
      <alignment horizontal="center" wrapText="1"/>
    </xf>
    <xf numFmtId="0" fontId="1" fillId="0" borderId="6" xfId="1" applyFont="1" applyBorder="1" applyAlignment="1">
      <alignment horizontal="right" vertical="top" wrapText="1"/>
    </xf>
    <xf numFmtId="0" fontId="1" fillId="0" borderId="1" xfId="1" applyFont="1" applyBorder="1" applyAlignment="1">
      <alignment horizontal="right" vertical="top" wrapText="1"/>
    </xf>
    <xf numFmtId="0" fontId="1" fillId="0" borderId="28" xfId="1" applyFont="1" applyBorder="1" applyAlignment="1">
      <alignment horizontal="right" vertical="top" wrapText="1"/>
    </xf>
    <xf numFmtId="0" fontId="11" fillId="0" borderId="11" xfId="1" applyFont="1" applyBorder="1" applyAlignment="1">
      <alignment horizontal="center" vertical="top" wrapText="1"/>
    </xf>
    <xf numFmtId="0" fontId="13" fillId="0" borderId="11" xfId="1" applyFont="1" applyBorder="1" applyAlignment="1">
      <alignment horizontal="center" vertical="top" wrapText="1"/>
    </xf>
    <xf numFmtId="0" fontId="13" fillId="0" borderId="30" xfId="1" applyFont="1" applyBorder="1" applyAlignment="1">
      <alignment horizontal="center" vertical="top" wrapText="1"/>
    </xf>
    <xf numFmtId="0" fontId="11" fillId="0" borderId="44" xfId="1" applyFont="1" applyBorder="1" applyAlignment="1">
      <alignment horizontal="center" vertical="center" wrapText="1"/>
    </xf>
    <xf numFmtId="0" fontId="11" fillId="0" borderId="49" xfId="1" applyFont="1" applyBorder="1" applyAlignment="1">
      <alignment horizontal="center" vertical="center" wrapText="1"/>
    </xf>
    <xf numFmtId="0" fontId="60" fillId="0" borderId="0" xfId="1" applyFont="1" applyBorder="1" applyAlignment="1">
      <alignment horizontal="center" wrapText="1"/>
    </xf>
    <xf numFmtId="0" fontId="9" fillId="11" borderId="0" xfId="1" applyFont="1" applyFill="1" applyAlignment="1">
      <alignment horizontal="left" wrapText="1"/>
    </xf>
    <xf numFmtId="0" fontId="9" fillId="0" borderId="27" xfId="1" applyFont="1" applyBorder="1" applyAlignment="1">
      <alignment horizontal="center" vertical="top" wrapText="1"/>
    </xf>
    <xf numFmtId="0" fontId="9" fillId="0" borderId="0" xfId="1" applyFont="1" applyBorder="1" applyAlignment="1">
      <alignment horizontal="center" vertical="top" wrapText="1"/>
    </xf>
    <xf numFmtId="0" fontId="9" fillId="0" borderId="32" xfId="1" applyFont="1" applyBorder="1" applyAlignment="1">
      <alignment horizontal="center" vertical="top" wrapText="1"/>
    </xf>
    <xf numFmtId="0" fontId="11" fillId="0" borderId="27" xfId="1" applyFont="1" applyBorder="1" applyAlignment="1">
      <alignment horizontal="center" vertical="top" wrapText="1"/>
    </xf>
    <xf numFmtId="0" fontId="11" fillId="0" borderId="0" xfId="1" applyFont="1" applyBorder="1" applyAlignment="1">
      <alignment horizontal="center" vertical="top" wrapText="1"/>
    </xf>
    <xf numFmtId="0" fontId="11" fillId="0" borderId="32" xfId="1" applyFont="1" applyBorder="1" applyAlignment="1">
      <alignment horizontal="center" vertical="top" wrapText="1"/>
    </xf>
    <xf numFmtId="0" fontId="61" fillId="0" borderId="28" xfId="1" applyFont="1" applyBorder="1" applyAlignment="1">
      <alignment horizontal="left" vertical="center" wrapText="1"/>
    </xf>
    <xf numFmtId="0" fontId="61" fillId="0" borderId="29" xfId="1" applyFont="1" applyBorder="1" applyAlignment="1">
      <alignment horizontal="left" vertical="center" wrapText="1"/>
    </xf>
    <xf numFmtId="0" fontId="61" fillId="0" borderId="15" xfId="1" applyFont="1" applyBorder="1" applyAlignment="1">
      <alignment horizontal="left" vertical="center" wrapText="1"/>
    </xf>
    <xf numFmtId="0" fontId="9" fillId="0" borderId="32" xfId="1" applyFont="1" applyBorder="1" applyAlignment="1">
      <alignment horizontal="center" wrapText="1"/>
    </xf>
    <xf numFmtId="0" fontId="11" fillId="0" borderId="54" xfId="1" applyFont="1" applyBorder="1" applyAlignment="1">
      <alignment horizontal="center" vertical="top" wrapText="1"/>
    </xf>
    <xf numFmtId="0" fontId="11" fillId="0" borderId="48" xfId="1" applyFont="1" applyBorder="1" applyAlignment="1">
      <alignment horizontal="center" vertical="top" wrapText="1"/>
    </xf>
    <xf numFmtId="16" fontId="9" fillId="0" borderId="28" xfId="1" applyNumberFormat="1" applyFont="1" applyBorder="1" applyAlignment="1">
      <alignment horizontal="center" vertical="top" wrapText="1"/>
    </xf>
    <xf numFmtId="16" fontId="9" fillId="0" borderId="29" xfId="1" applyNumberFormat="1" applyFont="1" applyBorder="1" applyAlignment="1">
      <alignment horizontal="center" vertical="top" wrapText="1"/>
    </xf>
    <xf numFmtId="16" fontId="9" fillId="0" borderId="26" xfId="1" applyNumberFormat="1" applyFont="1" applyBorder="1" applyAlignment="1">
      <alignment horizontal="center" vertical="top" wrapText="1"/>
    </xf>
    <xf numFmtId="16" fontId="9" fillId="0" borderId="15" xfId="1" applyNumberFormat="1" applyFont="1" applyBorder="1" applyAlignment="1">
      <alignment horizontal="center" vertical="top" wrapText="1"/>
    </xf>
    <xf numFmtId="0" fontId="12" fillId="0" borderId="25" xfId="1" applyFont="1" applyBorder="1" applyAlignment="1">
      <alignment horizontal="left"/>
    </xf>
    <xf numFmtId="0" fontId="1" fillId="0" borderId="25" xfId="1" applyFont="1" applyBorder="1" applyAlignment="1">
      <alignment horizontal="center" wrapText="1"/>
    </xf>
    <xf numFmtId="0" fontId="1" fillId="0" borderId="0" xfId="1" applyFont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215~1/AppData/Local/Temp/21%20&#1085;&#1086;&#1074;&#1086;&#10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41;&#1065;&#1048;&#1045;%20&#1044;&#1054;&#1050;&#1059;&#1052;&#1045;&#1053;&#1058;&#1067;/&#1088;&#1072;&#1073;&#1086;&#1095;&#1080;&#1081;%202018/&#1084;&#1079;/&#1092;&#1086;&#1088;&#1084;&#1072;%20&#1087;&#1086;%20&#1074;&#1085;&#1077;&#1096;&#1082;&#1086;&#1083;&#1100;&#1085;&#1080;&#1082;&#1072;&#1084;%20&#1085;&#1072;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н.зад."/>
      <sheetName val="проверка 2017"/>
      <sheetName val="проверка 2018 "/>
      <sheetName val="проверка 2019"/>
      <sheetName val="прил.1+2"/>
      <sheetName val="прил.3"/>
      <sheetName val="прил.4"/>
      <sheetName val="прил.5"/>
      <sheetName val="прил.6"/>
      <sheetName val="свод "/>
      <sheetName val="проверка 2018"/>
    </sheetNames>
    <sheetDataSet>
      <sheetData sheetId="0" refreshError="1"/>
      <sheetData sheetId="1" refreshError="1">
        <row r="17">
          <cell r="H17">
            <v>10007.64</v>
          </cell>
          <cell r="I17">
            <v>36.520000000000003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н.зад."/>
      <sheetName val="прил.1+2"/>
      <sheetName val="прил.3"/>
      <sheetName val="прил.4"/>
      <sheetName val="прил.5"/>
      <sheetName val="прил.6"/>
      <sheetName val="свод "/>
      <sheetName val="проверка"/>
      <sheetName val="1,2 лагеря"/>
      <sheetName val="3лагеря"/>
      <sheetName val="4лагеря"/>
      <sheetName val="прил.1мероп"/>
      <sheetName val="прил.1+2 "/>
      <sheetName val="прил.3 "/>
      <sheetName val="прил.4 "/>
      <sheetName val="прил.5 "/>
      <sheetName val="прил.6 "/>
      <sheetName val="свод 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D4">
            <v>0</v>
          </cell>
        </row>
        <row r="6">
          <cell r="B6">
            <v>0</v>
          </cell>
          <cell r="E6" t="e">
            <v>#DIV/0!</v>
          </cell>
        </row>
        <row r="16">
          <cell r="B16">
            <v>0</v>
          </cell>
        </row>
        <row r="17">
          <cell r="B17">
            <v>0</v>
          </cell>
        </row>
        <row r="18">
          <cell r="D18">
            <v>0</v>
          </cell>
        </row>
        <row r="20">
          <cell r="E20" t="e">
            <v>#DIV/0!</v>
          </cell>
        </row>
      </sheetData>
      <sheetData sheetId="8">
        <row r="8">
          <cell r="G8" t="e">
            <v>#DIV/0!</v>
          </cell>
          <cell r="H8" t="e">
            <v>#DIV/0!</v>
          </cell>
        </row>
        <row r="20">
          <cell r="E20">
            <v>0</v>
          </cell>
        </row>
        <row r="28">
          <cell r="F28">
            <v>0</v>
          </cell>
        </row>
        <row r="36">
          <cell r="F36">
            <v>0</v>
          </cell>
        </row>
        <row r="51">
          <cell r="G51" t="e">
            <v>#DIV/0!</v>
          </cell>
          <cell r="H51" t="e">
            <v>#DIV/0!</v>
          </cell>
        </row>
      </sheetData>
      <sheetData sheetId="9">
        <row r="1">
          <cell r="F1">
            <v>0</v>
          </cell>
        </row>
        <row r="2">
          <cell r="F2">
            <v>0</v>
          </cell>
        </row>
        <row r="3">
          <cell r="F3">
            <v>0</v>
          </cell>
        </row>
        <row r="4">
          <cell r="F4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34">
          <cell r="F34">
            <v>0</v>
          </cell>
        </row>
        <row r="35">
          <cell r="A35" t="str">
            <v xml:space="preserve">Приобретение транспортных услуг </v>
          </cell>
          <cell r="F35">
            <v>0</v>
          </cell>
        </row>
        <row r="42">
          <cell r="D42">
            <v>0</v>
          </cell>
        </row>
      </sheetData>
      <sheetData sheetId="10"/>
      <sheetData sheetId="11">
        <row r="20">
          <cell r="E20">
            <v>0</v>
          </cell>
        </row>
        <row r="21">
          <cell r="E21">
            <v>0</v>
          </cell>
        </row>
        <row r="72">
          <cell r="E72">
            <v>0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87"/>
  <sheetViews>
    <sheetView tabSelected="1" view="pageBreakPreview" zoomScaleNormal="100" zoomScaleSheetLayoutView="100" workbookViewId="0">
      <selection activeCell="V18" sqref="V18"/>
    </sheetView>
  </sheetViews>
  <sheetFormatPr defaultColWidth="9.140625" defaultRowHeight="15" x14ac:dyDescent="0.25"/>
  <cols>
    <col min="1" max="1" width="19.140625" style="4" customWidth="1"/>
    <col min="2" max="2" width="3.85546875" style="4" customWidth="1"/>
    <col min="3" max="3" width="8.7109375" style="4" customWidth="1"/>
    <col min="4" max="4" width="6.42578125" style="4" customWidth="1"/>
    <col min="5" max="5" width="9.140625" style="4" customWidth="1"/>
    <col min="6" max="7" width="7.5703125" style="4" customWidth="1"/>
    <col min="8" max="8" width="27.7109375" style="4" customWidth="1"/>
    <col min="9" max="9" width="5.85546875" style="4" customWidth="1"/>
    <col min="10" max="10" width="6" style="4" customWidth="1"/>
    <col min="11" max="13" width="9.140625" style="4" customWidth="1"/>
    <col min="14" max="14" width="9.42578125" style="4" customWidth="1"/>
    <col min="15" max="15" width="10.140625" style="4" customWidth="1"/>
    <col min="16" max="16" width="10.85546875" style="4" bestFit="1" customWidth="1"/>
    <col min="17" max="16384" width="9.140625" style="4"/>
  </cols>
  <sheetData>
    <row r="1" spans="1:16" x14ac:dyDescent="0.25">
      <c r="L1" s="4" t="s">
        <v>9</v>
      </c>
    </row>
    <row r="2" spans="1:16" x14ac:dyDescent="0.25">
      <c r="L2" s="4" t="s">
        <v>14</v>
      </c>
    </row>
    <row r="3" spans="1:16" x14ac:dyDescent="0.25">
      <c r="L3" s="4" t="s">
        <v>15</v>
      </c>
    </row>
    <row r="4" spans="1:16" x14ac:dyDescent="0.25">
      <c r="L4" s="4" t="s">
        <v>245</v>
      </c>
    </row>
    <row r="5" spans="1:16" x14ac:dyDescent="0.25">
      <c r="L5" s="5" t="s">
        <v>564</v>
      </c>
      <c r="M5" s="5"/>
      <c r="N5" s="5"/>
    </row>
    <row r="6" spans="1:16" ht="6.75" customHeight="1" x14ac:dyDescent="0.25"/>
    <row r="7" spans="1:16" ht="5.25" customHeight="1" x14ac:dyDescent="0.25"/>
    <row r="8" spans="1:16" x14ac:dyDescent="0.25">
      <c r="A8" s="817" t="s">
        <v>576</v>
      </c>
      <c r="B8" s="817"/>
      <c r="C8" s="817"/>
      <c r="D8" s="817"/>
      <c r="E8" s="817"/>
      <c r="F8" s="817"/>
      <c r="G8" s="817"/>
      <c r="H8" s="817"/>
      <c r="I8" s="817"/>
      <c r="J8" s="817"/>
      <c r="K8" s="817"/>
      <c r="L8" s="817"/>
      <c r="M8" s="817"/>
      <c r="N8" s="817"/>
      <c r="O8" s="817"/>
      <c r="P8" s="817"/>
    </row>
    <row r="9" spans="1:16" x14ac:dyDescent="0.25">
      <c r="A9" s="817" t="s">
        <v>540</v>
      </c>
      <c r="B9" s="817"/>
      <c r="C9" s="817"/>
      <c r="D9" s="817"/>
      <c r="E9" s="817"/>
      <c r="F9" s="817"/>
      <c r="G9" s="817"/>
      <c r="H9" s="817"/>
      <c r="I9" s="817"/>
      <c r="J9" s="817"/>
      <c r="K9" s="817"/>
      <c r="L9" s="817"/>
      <c r="M9" s="817"/>
      <c r="N9" s="817"/>
      <c r="O9" s="817"/>
      <c r="P9" s="817"/>
    </row>
    <row r="10" spans="1:16" x14ac:dyDescent="0.25">
      <c r="A10" s="615"/>
      <c r="B10" s="615"/>
      <c r="C10" s="615"/>
      <c r="D10" s="615"/>
      <c r="E10" s="615"/>
      <c r="F10" s="615"/>
      <c r="G10" s="615"/>
      <c r="H10" s="615"/>
      <c r="I10" s="615"/>
      <c r="J10" s="615"/>
      <c r="K10" s="615"/>
      <c r="L10" s="615"/>
      <c r="M10" s="615"/>
      <c r="N10" s="615"/>
      <c r="O10" s="822" t="s">
        <v>8</v>
      </c>
      <c r="P10" s="822"/>
    </row>
    <row r="11" spans="1:16" x14ac:dyDescent="0.25">
      <c r="M11" s="915" t="s">
        <v>6</v>
      </c>
      <c r="N11" s="916"/>
      <c r="O11" s="917" t="s">
        <v>7</v>
      </c>
      <c r="P11" s="917"/>
    </row>
    <row r="12" spans="1:16" x14ac:dyDescent="0.25">
      <c r="M12" s="187"/>
      <c r="N12" s="187" t="s">
        <v>5</v>
      </c>
      <c r="O12" s="918">
        <v>43839</v>
      </c>
      <c r="P12" s="822"/>
    </row>
    <row r="13" spans="1:16" x14ac:dyDescent="0.25">
      <c r="A13" s="4" t="s">
        <v>0</v>
      </c>
      <c r="M13" s="187"/>
      <c r="N13" s="187"/>
      <c r="O13" s="822"/>
      <c r="P13" s="822"/>
    </row>
    <row r="14" spans="1:16" ht="16.5" customHeight="1" x14ac:dyDescent="0.25">
      <c r="A14" s="914" t="s">
        <v>575</v>
      </c>
      <c r="B14" s="914"/>
      <c r="C14" s="914"/>
      <c r="D14" s="914"/>
      <c r="E14" s="914"/>
      <c r="F14" s="914"/>
      <c r="G14" s="914"/>
      <c r="H14" s="914"/>
      <c r="I14" s="914"/>
      <c r="J14" s="914"/>
      <c r="K14" s="914"/>
      <c r="L14" s="914"/>
      <c r="M14" s="915" t="s">
        <v>3</v>
      </c>
      <c r="N14" s="916"/>
      <c r="O14" s="822"/>
      <c r="P14" s="822"/>
    </row>
    <row r="15" spans="1:16" x14ac:dyDescent="0.25">
      <c r="A15" s="6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187"/>
      <c r="N15" s="187" t="s">
        <v>4</v>
      </c>
      <c r="O15" s="822" t="s">
        <v>480</v>
      </c>
      <c r="P15" s="822"/>
    </row>
    <row r="16" spans="1:16" x14ac:dyDescent="0.25">
      <c r="A16" s="909" t="s">
        <v>79</v>
      </c>
      <c r="B16" s="909"/>
      <c r="C16" s="909"/>
      <c r="D16" s="909"/>
      <c r="E16" s="909"/>
      <c r="F16" s="909"/>
      <c r="G16" s="909"/>
      <c r="H16" s="909"/>
      <c r="I16" s="909"/>
      <c r="J16" s="909"/>
      <c r="K16" s="909"/>
      <c r="L16" s="909"/>
      <c r="M16" s="187"/>
      <c r="N16" s="187" t="s">
        <v>4</v>
      </c>
      <c r="O16" s="822" t="s">
        <v>481</v>
      </c>
      <c r="P16" s="822"/>
    </row>
    <row r="17" spans="1:16" x14ac:dyDescent="0.25">
      <c r="A17" s="825"/>
      <c r="B17" s="825"/>
      <c r="C17" s="825"/>
      <c r="D17" s="825"/>
      <c r="E17" s="825"/>
      <c r="F17" s="825"/>
      <c r="G17" s="825"/>
      <c r="H17" s="825"/>
      <c r="I17" s="825"/>
      <c r="J17" s="825"/>
      <c r="K17" s="825"/>
      <c r="L17" s="825"/>
      <c r="M17" s="187"/>
      <c r="N17" s="187" t="s">
        <v>4</v>
      </c>
      <c r="O17" s="822" t="s">
        <v>482</v>
      </c>
      <c r="P17" s="822"/>
    </row>
    <row r="18" spans="1:16" x14ac:dyDescent="0.25">
      <c r="A18" s="619"/>
      <c r="B18" s="619"/>
      <c r="C18" s="619"/>
      <c r="D18" s="619"/>
      <c r="E18" s="619"/>
      <c r="F18" s="619"/>
      <c r="G18" s="619"/>
      <c r="H18" s="619"/>
      <c r="I18" s="619"/>
      <c r="J18" s="619"/>
      <c r="K18" s="619"/>
      <c r="L18" s="619"/>
      <c r="M18" s="187"/>
      <c r="N18" s="187" t="s">
        <v>4</v>
      </c>
      <c r="O18" s="824"/>
      <c r="P18" s="826"/>
    </row>
    <row r="19" spans="1:16" x14ac:dyDescent="0.25">
      <c r="A19" s="4" t="s">
        <v>2</v>
      </c>
      <c r="O19" s="822"/>
      <c r="P19" s="822"/>
    </row>
    <row r="20" spans="1:16" x14ac:dyDescent="0.25">
      <c r="A20" s="909" t="s">
        <v>80</v>
      </c>
      <c r="B20" s="909"/>
      <c r="C20" s="909"/>
      <c r="D20" s="909"/>
      <c r="E20" s="909"/>
      <c r="F20" s="909"/>
      <c r="G20" s="909"/>
      <c r="H20" s="909"/>
      <c r="I20" s="909"/>
      <c r="J20" s="909"/>
      <c r="K20" s="909"/>
      <c r="L20" s="909"/>
      <c r="N20" s="187" t="s">
        <v>4</v>
      </c>
      <c r="O20" s="822"/>
      <c r="P20" s="822"/>
    </row>
    <row r="21" spans="1:16" ht="18" customHeight="1" x14ac:dyDescent="0.25">
      <c r="A21" s="913" t="s">
        <v>321</v>
      </c>
      <c r="B21" s="913"/>
      <c r="C21" s="913"/>
      <c r="D21" s="913"/>
      <c r="E21" s="913"/>
      <c r="F21" s="913"/>
      <c r="G21" s="913"/>
      <c r="H21" s="913"/>
      <c r="I21" s="913"/>
      <c r="J21" s="913"/>
      <c r="K21" s="619"/>
      <c r="L21" s="619"/>
    </row>
    <row r="22" spans="1:16" ht="8.25" customHeight="1" x14ac:dyDescent="0.25"/>
    <row r="23" spans="1:16" ht="5.25" customHeight="1" x14ac:dyDescent="0.25"/>
    <row r="24" spans="1:16" x14ac:dyDescent="0.25">
      <c r="A24" s="817" t="s">
        <v>10</v>
      </c>
      <c r="B24" s="817"/>
      <c r="C24" s="817"/>
      <c r="D24" s="817"/>
      <c r="E24" s="817"/>
      <c r="F24" s="817"/>
      <c r="G24" s="817"/>
      <c r="H24" s="817"/>
      <c r="I24" s="817"/>
      <c r="J24" s="817"/>
      <c r="K24" s="817"/>
      <c r="L24" s="817"/>
      <c r="M24" s="817"/>
      <c r="N24" s="817"/>
      <c r="O24" s="817"/>
      <c r="P24" s="817"/>
    </row>
    <row r="25" spans="1:16" ht="12.75" customHeight="1" x14ac:dyDescent="0.25">
      <c r="A25" s="817" t="s">
        <v>246</v>
      </c>
      <c r="B25" s="817"/>
      <c r="C25" s="817"/>
      <c r="D25" s="817"/>
      <c r="E25" s="817"/>
      <c r="F25" s="817"/>
      <c r="G25" s="817"/>
      <c r="H25" s="817"/>
      <c r="I25" s="817"/>
      <c r="J25" s="817"/>
      <c r="K25" s="817"/>
      <c r="L25" s="817"/>
      <c r="M25" s="817"/>
      <c r="N25" s="817"/>
      <c r="O25" s="817"/>
      <c r="P25" s="817"/>
    </row>
    <row r="26" spans="1:16" ht="7.5" customHeight="1" x14ac:dyDescent="0.25"/>
    <row r="27" spans="1:16" ht="15" customHeight="1" x14ac:dyDescent="0.25">
      <c r="A27" s="4" t="s">
        <v>11</v>
      </c>
      <c r="E27" s="909" t="s">
        <v>73</v>
      </c>
      <c r="F27" s="909"/>
      <c r="G27" s="909"/>
      <c r="H27" s="909"/>
      <c r="I27" s="909"/>
      <c r="J27" s="909"/>
      <c r="K27" s="909"/>
      <c r="L27" s="909"/>
      <c r="M27" s="854" t="s">
        <v>314</v>
      </c>
      <c r="N27" s="855"/>
      <c r="O27" s="822" t="s">
        <v>534</v>
      </c>
      <c r="P27" s="822"/>
    </row>
    <row r="28" spans="1:16" x14ac:dyDescent="0.25">
      <c r="A28" s="886" t="s">
        <v>72</v>
      </c>
      <c r="B28" s="886"/>
      <c r="C28" s="886"/>
      <c r="D28" s="886"/>
      <c r="E28" s="886"/>
      <c r="F28" s="886"/>
      <c r="G28" s="886"/>
      <c r="H28" s="886"/>
      <c r="I28" s="886"/>
      <c r="J28" s="886"/>
      <c r="K28" s="886"/>
      <c r="L28" s="886"/>
      <c r="M28" s="854"/>
      <c r="N28" s="855"/>
      <c r="O28" s="822"/>
      <c r="P28" s="822"/>
    </row>
    <row r="29" spans="1:16" ht="19.5" customHeight="1" x14ac:dyDescent="0.25">
      <c r="A29" s="4" t="s">
        <v>12</v>
      </c>
      <c r="M29" s="854"/>
      <c r="N29" s="855"/>
      <c r="O29" s="822"/>
      <c r="P29" s="822"/>
    </row>
    <row r="30" spans="1:16" x14ac:dyDescent="0.25">
      <c r="A30" s="886" t="s">
        <v>74</v>
      </c>
      <c r="B30" s="886"/>
      <c r="C30" s="886"/>
      <c r="D30" s="886"/>
      <c r="E30" s="886"/>
      <c r="F30" s="886"/>
      <c r="G30" s="886"/>
      <c r="H30" s="886"/>
      <c r="I30" s="886"/>
      <c r="J30" s="886"/>
      <c r="K30" s="886"/>
      <c r="L30" s="886"/>
      <c r="M30" s="886"/>
      <c r="N30" s="886"/>
    </row>
    <row r="31" spans="1:16" ht="4.5" customHeight="1" x14ac:dyDescent="0.25">
      <c r="A31" s="619"/>
      <c r="B31" s="619"/>
      <c r="C31" s="619"/>
      <c r="D31" s="619"/>
      <c r="E31" s="619"/>
      <c r="F31" s="619"/>
      <c r="G31" s="619"/>
      <c r="H31" s="619"/>
      <c r="I31" s="619"/>
      <c r="J31" s="619"/>
      <c r="K31" s="619"/>
      <c r="L31" s="619"/>
      <c r="M31" s="619"/>
      <c r="N31" s="619"/>
    </row>
    <row r="32" spans="1:16" x14ac:dyDescent="0.25">
      <c r="A32" s="4" t="s">
        <v>13</v>
      </c>
    </row>
    <row r="33" spans="1:17" ht="5.25" customHeight="1" x14ac:dyDescent="0.25"/>
    <row r="34" spans="1:17" x14ac:dyDescent="0.25">
      <c r="A34" s="4" t="s">
        <v>16</v>
      </c>
    </row>
    <row r="35" spans="1:17" ht="7.5" customHeight="1" x14ac:dyDescent="0.25"/>
    <row r="36" spans="1:17" ht="45" customHeight="1" x14ac:dyDescent="0.25">
      <c r="A36" s="812" t="s">
        <v>17</v>
      </c>
      <c r="B36" s="812"/>
      <c r="C36" s="837" t="s">
        <v>18</v>
      </c>
      <c r="D36" s="838"/>
      <c r="E36" s="839"/>
      <c r="F36" s="812" t="s">
        <v>20</v>
      </c>
      <c r="G36" s="812"/>
      <c r="H36" s="812" t="s">
        <v>21</v>
      </c>
      <c r="I36" s="812"/>
      <c r="J36" s="812"/>
      <c r="K36" s="812"/>
      <c r="L36" s="812"/>
      <c r="M36" s="837" t="s">
        <v>22</v>
      </c>
      <c r="N36" s="838"/>
      <c r="O36" s="839"/>
      <c r="P36" s="812" t="s">
        <v>315</v>
      </c>
      <c r="Q36" s="812"/>
    </row>
    <row r="37" spans="1:17" s="188" customFormat="1" ht="24.75" customHeight="1" x14ac:dyDescent="0.2">
      <c r="A37" s="812"/>
      <c r="B37" s="812"/>
      <c r="C37" s="898" t="s">
        <v>19</v>
      </c>
      <c r="D37" s="898" t="s">
        <v>19</v>
      </c>
      <c r="E37" s="898" t="s">
        <v>19</v>
      </c>
      <c r="F37" s="898" t="s">
        <v>19</v>
      </c>
      <c r="G37" s="898" t="s">
        <v>19</v>
      </c>
      <c r="H37" s="812" t="s">
        <v>26</v>
      </c>
      <c r="I37" s="812"/>
      <c r="J37" s="812" t="s">
        <v>23</v>
      </c>
      <c r="K37" s="812"/>
      <c r="L37" s="812"/>
      <c r="M37" s="800" t="s">
        <v>561</v>
      </c>
      <c r="N37" s="800" t="s">
        <v>562</v>
      </c>
      <c r="O37" s="800" t="s">
        <v>563</v>
      </c>
      <c r="P37" s="813" t="s">
        <v>316</v>
      </c>
      <c r="Q37" s="814" t="s">
        <v>317</v>
      </c>
    </row>
    <row r="38" spans="1:17" s="188" customFormat="1" ht="16.5" customHeight="1" x14ac:dyDescent="0.2">
      <c r="A38" s="812"/>
      <c r="B38" s="812"/>
      <c r="C38" s="898"/>
      <c r="D38" s="898"/>
      <c r="E38" s="898"/>
      <c r="F38" s="898"/>
      <c r="G38" s="898"/>
      <c r="H38" s="812"/>
      <c r="I38" s="812"/>
      <c r="J38" s="882" t="s">
        <v>25</v>
      </c>
      <c r="K38" s="883"/>
      <c r="L38" s="7" t="s">
        <v>24</v>
      </c>
      <c r="M38" s="801"/>
      <c r="N38" s="801"/>
      <c r="O38" s="801"/>
      <c r="P38" s="813"/>
      <c r="Q38" s="815"/>
    </row>
    <row r="39" spans="1:17" s="198" customFormat="1" ht="11.25" customHeight="1" x14ac:dyDescent="0.15">
      <c r="A39" s="876">
        <v>1</v>
      </c>
      <c r="B39" s="876"/>
      <c r="C39" s="621">
        <v>2</v>
      </c>
      <c r="D39" s="621">
        <v>3</v>
      </c>
      <c r="E39" s="621">
        <v>4</v>
      </c>
      <c r="F39" s="621">
        <v>5</v>
      </c>
      <c r="G39" s="621">
        <v>6</v>
      </c>
      <c r="H39" s="876">
        <v>7</v>
      </c>
      <c r="I39" s="876"/>
      <c r="J39" s="877">
        <v>8</v>
      </c>
      <c r="K39" s="878"/>
      <c r="L39" s="621">
        <v>9</v>
      </c>
      <c r="M39" s="621">
        <v>10</v>
      </c>
      <c r="N39" s="621">
        <v>11</v>
      </c>
      <c r="O39" s="621">
        <v>12</v>
      </c>
      <c r="P39" s="621">
        <v>13</v>
      </c>
      <c r="Q39" s="622">
        <v>14</v>
      </c>
    </row>
    <row r="40" spans="1:17" ht="30" customHeight="1" x14ac:dyDescent="0.25">
      <c r="A40" s="845" t="s">
        <v>504</v>
      </c>
      <c r="B40" s="846"/>
      <c r="C40" s="8"/>
      <c r="D40" s="8"/>
      <c r="E40" s="8"/>
      <c r="F40" s="8" t="s">
        <v>75</v>
      </c>
      <c r="G40" s="8"/>
      <c r="H40" s="905" t="s">
        <v>81</v>
      </c>
      <c r="I40" s="906"/>
      <c r="J40" s="907" t="s">
        <v>82</v>
      </c>
      <c r="K40" s="908"/>
      <c r="L40" s="189">
        <v>744</v>
      </c>
      <c r="M40" s="294" t="s">
        <v>242</v>
      </c>
      <c r="N40" s="294" t="s">
        <v>242</v>
      </c>
      <c r="O40" s="294" t="s">
        <v>242</v>
      </c>
      <c r="P40" s="649"/>
      <c r="Q40" s="1"/>
    </row>
    <row r="41" spans="1:17" ht="30" hidden="1" customHeight="1" x14ac:dyDescent="0.3">
      <c r="A41" s="845"/>
      <c r="B41" s="846"/>
      <c r="C41" s="8"/>
      <c r="D41" s="8"/>
      <c r="E41" s="8"/>
      <c r="F41" s="10" t="s">
        <v>76</v>
      </c>
      <c r="G41" s="8"/>
      <c r="H41" s="905" t="s">
        <v>81</v>
      </c>
      <c r="I41" s="906"/>
      <c r="J41" s="907" t="s">
        <v>82</v>
      </c>
      <c r="K41" s="908"/>
      <c r="L41" s="189">
        <v>744</v>
      </c>
      <c r="M41" s="294" t="s">
        <v>242</v>
      </c>
      <c r="N41" s="294" t="s">
        <v>242</v>
      </c>
      <c r="O41" s="294" t="s">
        <v>242</v>
      </c>
      <c r="P41" s="623"/>
      <c r="Q41" s="1"/>
    </row>
    <row r="42" spans="1:17" ht="13.9" hidden="1" x14ac:dyDescent="0.25">
      <c r="A42" s="824"/>
      <c r="B42" s="826"/>
      <c r="C42" s="1"/>
      <c r="D42" s="1"/>
      <c r="E42" s="1"/>
      <c r="F42" s="1"/>
      <c r="G42" s="1"/>
      <c r="H42" s="824"/>
      <c r="I42" s="826"/>
      <c r="J42" s="824"/>
      <c r="K42" s="826"/>
      <c r="L42" s="1"/>
      <c r="M42" s="1"/>
      <c r="N42" s="1"/>
      <c r="O42" s="824"/>
      <c r="P42" s="858"/>
    </row>
    <row r="43" spans="1:17" ht="13.9" hidden="1" x14ac:dyDescent="0.25">
      <c r="A43" s="824"/>
      <c r="B43" s="826"/>
      <c r="C43" s="1"/>
      <c r="D43" s="1"/>
      <c r="E43" s="1"/>
      <c r="F43" s="1"/>
      <c r="G43" s="1"/>
      <c r="H43" s="824"/>
      <c r="I43" s="826"/>
      <c r="J43" s="824"/>
      <c r="K43" s="826"/>
      <c r="L43" s="1"/>
      <c r="M43" s="1"/>
      <c r="N43" s="1"/>
      <c r="O43" s="824"/>
      <c r="P43" s="826"/>
    </row>
    <row r="44" spans="1:17" ht="13.9" hidden="1" x14ac:dyDescent="0.25">
      <c r="A44" s="824"/>
      <c r="B44" s="826"/>
      <c r="C44" s="1"/>
      <c r="D44" s="1"/>
      <c r="E44" s="1"/>
      <c r="F44" s="1"/>
      <c r="G44" s="1"/>
      <c r="H44" s="824"/>
      <c r="I44" s="826"/>
      <c r="J44" s="824"/>
      <c r="K44" s="826"/>
      <c r="L44" s="1"/>
      <c r="M44" s="1"/>
      <c r="N44" s="1"/>
      <c r="O44" s="824"/>
      <c r="P44" s="826"/>
    </row>
    <row r="45" spans="1:17" ht="13.9" hidden="1" x14ac:dyDescent="0.25">
      <c r="A45" s="824"/>
      <c r="B45" s="826"/>
      <c r="C45" s="1"/>
      <c r="D45" s="1"/>
      <c r="E45" s="1"/>
      <c r="F45" s="1"/>
      <c r="G45" s="1"/>
      <c r="H45" s="824"/>
      <c r="I45" s="826"/>
      <c r="J45" s="824"/>
      <c r="K45" s="826"/>
      <c r="L45" s="1"/>
      <c r="M45" s="1"/>
      <c r="N45" s="1"/>
      <c r="O45" s="824"/>
      <c r="P45" s="826"/>
    </row>
    <row r="46" spans="1:17" ht="13.9" hidden="1" x14ac:dyDescent="0.25">
      <c r="A46" s="824"/>
      <c r="B46" s="826"/>
      <c r="C46" s="1"/>
      <c r="D46" s="1"/>
      <c r="E46" s="1"/>
      <c r="F46" s="1"/>
      <c r="G46" s="1"/>
      <c r="H46" s="824"/>
      <c r="I46" s="826"/>
      <c r="J46" s="824"/>
      <c r="K46" s="826"/>
      <c r="L46" s="1"/>
      <c r="M46" s="1"/>
      <c r="N46" s="1"/>
      <c r="O46" s="824"/>
      <c r="P46" s="826"/>
    </row>
    <row r="47" spans="1:17" ht="13.9" hidden="1" x14ac:dyDescent="0.25">
      <c r="A47" s="824"/>
      <c r="B47" s="826"/>
      <c r="C47" s="1"/>
      <c r="D47" s="1"/>
      <c r="E47" s="1"/>
      <c r="F47" s="1"/>
      <c r="G47" s="1"/>
      <c r="H47" s="824"/>
      <c r="I47" s="826"/>
      <c r="J47" s="824"/>
      <c r="K47" s="826"/>
      <c r="L47" s="1"/>
      <c r="M47" s="1"/>
      <c r="N47" s="1"/>
      <c r="O47" s="824"/>
      <c r="P47" s="826"/>
    </row>
    <row r="48" spans="1:17" ht="7.5" customHeight="1" x14ac:dyDescent="0.25"/>
    <row r="49" spans="1:18" s="336" customFormat="1" x14ac:dyDescent="0.25"/>
    <row r="50" spans="1:18" s="336" customFormat="1" ht="13.9" hidden="1" x14ac:dyDescent="0.25">
      <c r="C50" s="847"/>
      <c r="D50" s="847"/>
    </row>
    <row r="51" spans="1:18" ht="4.5" customHeight="1" x14ac:dyDescent="0.25">
      <c r="D51" s="619"/>
    </row>
    <row r="52" spans="1:18" x14ac:dyDescent="0.25">
      <c r="A52" s="4" t="s">
        <v>37</v>
      </c>
    </row>
    <row r="53" spans="1:18" ht="5.25" customHeight="1" x14ac:dyDescent="0.25"/>
    <row r="54" spans="1:18" ht="44.25" customHeight="1" x14ac:dyDescent="0.25">
      <c r="A54" s="899" t="s">
        <v>17</v>
      </c>
      <c r="B54" s="900"/>
      <c r="C54" s="837" t="s">
        <v>18</v>
      </c>
      <c r="D54" s="838"/>
      <c r="E54" s="839"/>
      <c r="F54" s="812" t="s">
        <v>20</v>
      </c>
      <c r="G54" s="812"/>
      <c r="H54" s="812" t="s">
        <v>29</v>
      </c>
      <c r="I54" s="812"/>
      <c r="J54" s="812"/>
      <c r="K54" s="812" t="s">
        <v>30</v>
      </c>
      <c r="L54" s="812"/>
      <c r="M54" s="812"/>
      <c r="N54" s="838" t="s">
        <v>31</v>
      </c>
      <c r="O54" s="838"/>
      <c r="P54" s="839"/>
      <c r="Q54" s="812" t="s">
        <v>459</v>
      </c>
      <c r="R54" s="812"/>
    </row>
    <row r="55" spans="1:18" ht="42" customHeight="1" x14ac:dyDescent="0.25">
      <c r="A55" s="901"/>
      <c r="B55" s="902"/>
      <c r="C55" s="898" t="s">
        <v>19</v>
      </c>
      <c r="D55" s="898" t="s">
        <v>19</v>
      </c>
      <c r="E55" s="898" t="s">
        <v>19</v>
      </c>
      <c r="F55" s="898" t="s">
        <v>19</v>
      </c>
      <c r="G55" s="898" t="s">
        <v>19</v>
      </c>
      <c r="H55" s="812" t="s">
        <v>26</v>
      </c>
      <c r="I55" s="812" t="s">
        <v>23</v>
      </c>
      <c r="J55" s="812"/>
      <c r="K55" s="800" t="s">
        <v>561</v>
      </c>
      <c r="L55" s="800" t="s">
        <v>562</v>
      </c>
      <c r="M55" s="800" t="s">
        <v>563</v>
      </c>
      <c r="N55" s="800" t="s">
        <v>561</v>
      </c>
      <c r="O55" s="800" t="s">
        <v>562</v>
      </c>
      <c r="P55" s="800" t="s">
        <v>563</v>
      </c>
      <c r="Q55" s="813" t="s">
        <v>316</v>
      </c>
      <c r="R55" s="814" t="s">
        <v>317</v>
      </c>
    </row>
    <row r="56" spans="1:18" ht="18.75" customHeight="1" x14ac:dyDescent="0.25">
      <c r="A56" s="903"/>
      <c r="B56" s="904"/>
      <c r="C56" s="898"/>
      <c r="D56" s="898"/>
      <c r="E56" s="898"/>
      <c r="F56" s="898"/>
      <c r="G56" s="898"/>
      <c r="H56" s="812"/>
      <c r="I56" s="614" t="s">
        <v>33</v>
      </c>
      <c r="J56" s="7" t="s">
        <v>24</v>
      </c>
      <c r="K56" s="801"/>
      <c r="L56" s="801"/>
      <c r="M56" s="801"/>
      <c r="N56" s="801"/>
      <c r="O56" s="801"/>
      <c r="P56" s="801"/>
      <c r="Q56" s="813"/>
      <c r="R56" s="815"/>
    </row>
    <row r="57" spans="1:18" x14ac:dyDescent="0.25">
      <c r="A57" s="907">
        <v>1</v>
      </c>
      <c r="B57" s="908"/>
      <c r="C57" s="7">
        <v>2</v>
      </c>
      <c r="D57" s="7">
        <v>3</v>
      </c>
      <c r="E57" s="7">
        <v>4</v>
      </c>
      <c r="F57" s="7">
        <v>5</v>
      </c>
      <c r="G57" s="7">
        <v>6</v>
      </c>
      <c r="H57" s="7">
        <v>7</v>
      </c>
      <c r="I57" s="7">
        <v>8</v>
      </c>
      <c r="J57" s="7">
        <v>9</v>
      </c>
      <c r="K57" s="7">
        <v>10</v>
      </c>
      <c r="L57" s="7">
        <v>11</v>
      </c>
      <c r="M57" s="7">
        <v>12</v>
      </c>
      <c r="N57" s="7">
        <v>13</v>
      </c>
      <c r="O57" s="7">
        <v>14</v>
      </c>
      <c r="P57" s="7">
        <v>15</v>
      </c>
      <c r="Q57" s="621">
        <v>16</v>
      </c>
      <c r="R57" s="622">
        <v>17</v>
      </c>
    </row>
    <row r="58" spans="1:18" ht="24.75" customHeight="1" x14ac:dyDescent="0.25">
      <c r="A58" s="897" t="str">
        <f>A40</f>
        <v>801012О.99.0.БА81БА80000</v>
      </c>
      <c r="B58" s="846"/>
      <c r="C58" s="8"/>
      <c r="D58" s="8"/>
      <c r="E58" s="8"/>
      <c r="F58" s="8" t="s">
        <v>75</v>
      </c>
      <c r="G58" s="8"/>
      <c r="H58" s="10" t="s">
        <v>77</v>
      </c>
      <c r="I58" s="9" t="s">
        <v>78</v>
      </c>
      <c r="J58" s="8">
        <v>792</v>
      </c>
      <c r="K58" s="8">
        <f>'проверка 2020'!I4</f>
        <v>236</v>
      </c>
      <c r="L58" s="8">
        <f>'проверка 2021'!I4</f>
        <v>227</v>
      </c>
      <c r="M58" s="8">
        <f>'проверка 2022'!I4</f>
        <v>215</v>
      </c>
      <c r="N58" s="8"/>
      <c r="O58" s="8"/>
      <c r="P58" s="8"/>
      <c r="Q58" s="649">
        <v>0.05</v>
      </c>
      <c r="R58" s="1"/>
    </row>
    <row r="59" spans="1:18" ht="27" hidden="1" customHeight="1" x14ac:dyDescent="0.25">
      <c r="A59" s="897">
        <f>A41</f>
        <v>0</v>
      </c>
      <c r="B59" s="846"/>
      <c r="C59" s="8"/>
      <c r="D59" s="8"/>
      <c r="E59" s="8"/>
      <c r="F59" s="10" t="s">
        <v>76</v>
      </c>
      <c r="G59" s="8"/>
      <c r="H59" s="10" t="s">
        <v>77</v>
      </c>
      <c r="I59" s="9" t="s">
        <v>78</v>
      </c>
      <c r="J59" s="8">
        <v>792</v>
      </c>
      <c r="K59" s="8"/>
      <c r="L59" s="8"/>
      <c r="M59" s="8"/>
      <c r="N59" s="8"/>
      <c r="O59" s="9"/>
      <c r="P59" s="9"/>
      <c r="Q59" s="623"/>
      <c r="R59" s="1"/>
    </row>
    <row r="60" spans="1:18" ht="13.9" hidden="1" x14ac:dyDescent="0.25">
      <c r="A60" s="9"/>
      <c r="B60" s="9"/>
      <c r="C60" s="8"/>
      <c r="D60" s="8"/>
      <c r="E60" s="8"/>
      <c r="F60" s="8"/>
      <c r="G60" s="8"/>
      <c r="H60" s="9"/>
      <c r="I60" s="9"/>
      <c r="J60" s="8"/>
      <c r="K60" s="8"/>
      <c r="L60" s="8"/>
      <c r="M60" s="8"/>
      <c r="N60" s="8"/>
      <c r="O60" s="193"/>
      <c r="P60" s="194"/>
    </row>
    <row r="61" spans="1:18" ht="13.9" hidden="1" x14ac:dyDescent="0.25">
      <c r="A61" s="3"/>
      <c r="B61" s="3"/>
      <c r="C61" s="1"/>
      <c r="D61" s="1"/>
      <c r="E61" s="1"/>
      <c r="F61" s="1"/>
      <c r="G61" s="1"/>
      <c r="H61" s="3"/>
      <c r="I61" s="3"/>
      <c r="J61" s="1"/>
      <c r="K61" s="1"/>
      <c r="L61" s="1"/>
      <c r="M61" s="1"/>
      <c r="N61" s="1"/>
      <c r="O61" s="195"/>
      <c r="P61" s="196"/>
    </row>
    <row r="62" spans="1:18" ht="13.9" hidden="1" x14ac:dyDescent="0.25">
      <c r="A62" s="3"/>
      <c r="B62" s="3"/>
      <c r="C62" s="1"/>
      <c r="D62" s="1"/>
      <c r="E62" s="1"/>
      <c r="F62" s="1"/>
      <c r="G62" s="1"/>
      <c r="H62" s="3"/>
      <c r="I62" s="3"/>
      <c r="J62" s="1"/>
      <c r="K62" s="1"/>
      <c r="L62" s="1"/>
      <c r="M62" s="1"/>
      <c r="N62" s="1"/>
      <c r="O62" s="195"/>
      <c r="P62" s="196"/>
    </row>
    <row r="63" spans="1:18" ht="13.9" hidden="1" x14ac:dyDescent="0.25">
      <c r="A63" s="3"/>
      <c r="B63" s="3"/>
      <c r="C63" s="1"/>
      <c r="D63" s="1"/>
      <c r="E63" s="1"/>
      <c r="F63" s="1"/>
      <c r="G63" s="1"/>
      <c r="H63" s="3"/>
      <c r="I63" s="3"/>
      <c r="J63" s="1"/>
      <c r="K63" s="1"/>
      <c r="L63" s="1"/>
      <c r="M63" s="1"/>
      <c r="N63" s="1"/>
      <c r="O63" s="195"/>
      <c r="P63" s="196"/>
    </row>
    <row r="64" spans="1:18" ht="13.9" hidden="1" x14ac:dyDescent="0.25">
      <c r="A64" s="3"/>
      <c r="B64" s="3"/>
      <c r="C64" s="1"/>
      <c r="D64" s="1"/>
      <c r="E64" s="1"/>
      <c r="F64" s="1"/>
      <c r="G64" s="1"/>
      <c r="H64" s="3"/>
      <c r="I64" s="3"/>
      <c r="J64" s="1"/>
      <c r="K64" s="1"/>
      <c r="L64" s="1"/>
      <c r="M64" s="1"/>
      <c r="N64" s="1"/>
      <c r="O64" s="195"/>
      <c r="P64" s="196"/>
    </row>
    <row r="65" spans="1:16" ht="13.9" hidden="1" x14ac:dyDescent="0.25">
      <c r="A65" s="3"/>
      <c r="B65" s="3"/>
      <c r="C65" s="1"/>
      <c r="D65" s="1"/>
      <c r="E65" s="1"/>
      <c r="F65" s="1"/>
      <c r="G65" s="1"/>
      <c r="H65" s="3"/>
      <c r="I65" s="3"/>
      <c r="J65" s="1"/>
      <c r="K65" s="1"/>
      <c r="L65" s="1"/>
      <c r="M65" s="1"/>
      <c r="N65" s="1"/>
      <c r="O65" s="195"/>
      <c r="P65" s="196"/>
    </row>
    <row r="66" spans="1:16" ht="6" customHeight="1" x14ac:dyDescent="0.25"/>
    <row r="67" spans="1:16" s="337" customFormat="1" x14ac:dyDescent="0.25"/>
    <row r="68" spans="1:16" s="337" customFormat="1" ht="13.9" hidden="1" x14ac:dyDescent="0.25">
      <c r="C68" s="847"/>
      <c r="D68" s="847"/>
    </row>
    <row r="69" spans="1:16" ht="6" customHeight="1" x14ac:dyDescent="0.25">
      <c r="D69" s="619"/>
    </row>
    <row r="70" spans="1:16" x14ac:dyDescent="0.25">
      <c r="A70" s="4" t="s">
        <v>38</v>
      </c>
    </row>
    <row r="71" spans="1:16" ht="8.25" customHeight="1" x14ac:dyDescent="0.25"/>
    <row r="72" spans="1:16" x14ac:dyDescent="0.25">
      <c r="A72" s="822" t="s">
        <v>43</v>
      </c>
      <c r="B72" s="822"/>
      <c r="C72" s="822"/>
      <c r="D72" s="822"/>
      <c r="E72" s="822"/>
      <c r="F72" s="822"/>
      <c r="G72" s="822"/>
      <c r="H72" s="822"/>
      <c r="I72" s="822"/>
      <c r="J72" s="822"/>
      <c r="K72" s="822"/>
      <c r="L72" s="822"/>
      <c r="M72" s="822"/>
      <c r="N72" s="822"/>
      <c r="O72" s="822"/>
      <c r="P72" s="822"/>
    </row>
    <row r="73" spans="1:16" x14ac:dyDescent="0.25">
      <c r="A73" s="618" t="s">
        <v>39</v>
      </c>
      <c r="B73" s="822" t="s">
        <v>40</v>
      </c>
      <c r="C73" s="822"/>
      <c r="D73" s="822"/>
      <c r="E73" s="618" t="s">
        <v>41</v>
      </c>
      <c r="F73" s="618" t="s">
        <v>42</v>
      </c>
      <c r="G73" s="822" t="s">
        <v>25</v>
      </c>
      <c r="H73" s="822"/>
      <c r="I73" s="822"/>
      <c r="J73" s="822"/>
      <c r="K73" s="822"/>
      <c r="L73" s="822"/>
      <c r="M73" s="822"/>
      <c r="N73" s="822"/>
      <c r="O73" s="822"/>
      <c r="P73" s="822"/>
    </row>
    <row r="74" spans="1:16" s="198" customFormat="1" ht="7.5" x14ac:dyDescent="0.15">
      <c r="A74" s="622">
        <v>1</v>
      </c>
      <c r="B74" s="893">
        <v>2</v>
      </c>
      <c r="C74" s="893"/>
      <c r="D74" s="893"/>
      <c r="E74" s="622">
        <v>3</v>
      </c>
      <c r="F74" s="622">
        <v>4</v>
      </c>
      <c r="G74" s="893">
        <v>5</v>
      </c>
      <c r="H74" s="893"/>
      <c r="I74" s="893"/>
      <c r="J74" s="893"/>
      <c r="K74" s="893"/>
      <c r="L74" s="893"/>
      <c r="M74" s="893"/>
      <c r="N74" s="893"/>
      <c r="O74" s="893"/>
      <c r="P74" s="893"/>
    </row>
    <row r="75" spans="1:16" s="756" customFormat="1" ht="33" customHeight="1" x14ac:dyDescent="0.2">
      <c r="A75" s="734" t="s">
        <v>243</v>
      </c>
      <c r="B75" s="829" t="s">
        <v>244</v>
      </c>
      <c r="C75" s="830"/>
      <c r="D75" s="831"/>
      <c r="E75" s="755">
        <v>43306</v>
      </c>
      <c r="F75" s="734">
        <v>129</v>
      </c>
      <c r="G75" s="832" t="s">
        <v>558</v>
      </c>
      <c r="H75" s="833"/>
      <c r="I75" s="833"/>
      <c r="J75" s="833"/>
      <c r="K75" s="833"/>
      <c r="L75" s="833"/>
      <c r="M75" s="833"/>
      <c r="N75" s="833"/>
      <c r="O75" s="833"/>
      <c r="P75" s="834"/>
    </row>
    <row r="76" spans="1:16" s="188" customFormat="1" ht="53.25" customHeight="1" x14ac:dyDescent="0.2">
      <c r="A76" s="8" t="s">
        <v>456</v>
      </c>
      <c r="B76" s="894" t="s">
        <v>457</v>
      </c>
      <c r="C76" s="894"/>
      <c r="D76" s="894"/>
      <c r="E76" s="197">
        <v>43822</v>
      </c>
      <c r="F76" s="725" t="s">
        <v>573</v>
      </c>
      <c r="G76" s="895" t="s">
        <v>572</v>
      </c>
      <c r="H76" s="895"/>
      <c r="I76" s="895"/>
      <c r="J76" s="895"/>
      <c r="K76" s="895"/>
      <c r="L76" s="895"/>
      <c r="M76" s="895"/>
      <c r="N76" s="895"/>
      <c r="O76" s="895"/>
      <c r="P76" s="895"/>
    </row>
    <row r="77" spans="1:16" s="188" customFormat="1" ht="32.25" customHeight="1" x14ac:dyDescent="0.2">
      <c r="A77" s="8" t="s">
        <v>456</v>
      </c>
      <c r="B77" s="894" t="s">
        <v>457</v>
      </c>
      <c r="C77" s="894"/>
      <c r="D77" s="894"/>
      <c r="E77" s="197">
        <v>43600</v>
      </c>
      <c r="F77" s="730" t="s">
        <v>560</v>
      </c>
      <c r="G77" s="880" t="s">
        <v>559</v>
      </c>
      <c r="H77" s="896"/>
      <c r="I77" s="896"/>
      <c r="J77" s="896"/>
      <c r="K77" s="896"/>
      <c r="L77" s="896"/>
      <c r="M77" s="896"/>
      <c r="N77" s="896"/>
      <c r="O77" s="896"/>
      <c r="P77" s="881"/>
    </row>
    <row r="78" spans="1:16" s="188" customFormat="1" ht="10.15" hidden="1" x14ac:dyDescent="0.2">
      <c r="A78" s="8"/>
      <c r="B78" s="827"/>
      <c r="C78" s="827"/>
      <c r="D78" s="827"/>
      <c r="E78" s="8"/>
      <c r="F78" s="8"/>
      <c r="G78" s="843"/>
      <c r="H78" s="843"/>
      <c r="I78" s="843"/>
      <c r="J78" s="843"/>
      <c r="K78" s="843"/>
      <c r="L78" s="843"/>
      <c r="M78" s="843"/>
      <c r="N78" s="843"/>
      <c r="O78" s="843"/>
      <c r="P78" s="843"/>
    </row>
    <row r="79" spans="1:16" ht="9.75" customHeight="1" x14ac:dyDescent="0.25"/>
    <row r="80" spans="1:16" x14ac:dyDescent="0.25">
      <c r="A80" s="4" t="s">
        <v>44</v>
      </c>
    </row>
    <row r="81" spans="1:16" ht="4.5" customHeight="1" x14ac:dyDescent="0.25"/>
    <row r="82" spans="1:16" x14ac:dyDescent="0.25">
      <c r="A82" s="4" t="s">
        <v>45</v>
      </c>
    </row>
    <row r="83" spans="1:16" ht="97.5" customHeight="1" x14ac:dyDescent="0.25">
      <c r="A83" s="860" t="s">
        <v>327</v>
      </c>
      <c r="B83" s="860"/>
      <c r="C83" s="860"/>
      <c r="D83" s="860"/>
      <c r="E83" s="860"/>
      <c r="F83" s="860"/>
      <c r="G83" s="860"/>
      <c r="H83" s="860"/>
      <c r="I83" s="860"/>
      <c r="J83" s="860"/>
      <c r="K83" s="860"/>
      <c r="L83" s="860"/>
      <c r="M83" s="860"/>
      <c r="N83" s="860"/>
      <c r="O83" s="860"/>
      <c r="P83" s="860"/>
    </row>
    <row r="84" spans="1:16" x14ac:dyDescent="0.25">
      <c r="A84" s="892" t="s">
        <v>46</v>
      </c>
      <c r="B84" s="892"/>
      <c r="C84" s="892"/>
      <c r="D84" s="892"/>
      <c r="E84" s="892"/>
      <c r="F84" s="892"/>
      <c r="G84" s="892"/>
      <c r="H84" s="892"/>
      <c r="I84" s="892"/>
      <c r="J84" s="892"/>
      <c r="K84" s="892"/>
      <c r="L84" s="892"/>
    </row>
    <row r="85" spans="1:16" ht="3.75" customHeight="1" x14ac:dyDescent="0.25"/>
    <row r="86" spans="1:16" x14ac:dyDescent="0.25">
      <c r="A86" s="4" t="s">
        <v>241</v>
      </c>
    </row>
    <row r="88" spans="1:16" x14ac:dyDescent="0.25">
      <c r="A88" s="822" t="s">
        <v>48</v>
      </c>
      <c r="B88" s="822"/>
      <c r="C88" s="822"/>
      <c r="D88" s="827" t="s">
        <v>49</v>
      </c>
      <c r="E88" s="827"/>
      <c r="F88" s="827"/>
      <c r="G88" s="827"/>
      <c r="H88" s="822" t="s">
        <v>50</v>
      </c>
      <c r="I88" s="822"/>
      <c r="J88" s="822"/>
      <c r="K88" s="822"/>
    </row>
    <row r="89" spans="1:16" s="198" customFormat="1" ht="7.5" x14ac:dyDescent="0.15">
      <c r="A89" s="893">
        <v>1</v>
      </c>
      <c r="B89" s="893"/>
      <c r="C89" s="893"/>
      <c r="D89" s="893">
        <v>2</v>
      </c>
      <c r="E89" s="893"/>
      <c r="F89" s="893"/>
      <c r="G89" s="893"/>
      <c r="H89" s="893">
        <v>3</v>
      </c>
      <c r="I89" s="893"/>
      <c r="J89" s="893"/>
      <c r="K89" s="893"/>
    </row>
    <row r="90" spans="1:16" s="187" customFormat="1" ht="349.5" customHeight="1" x14ac:dyDescent="0.2">
      <c r="A90" s="889" t="s">
        <v>251</v>
      </c>
      <c r="B90" s="890"/>
      <c r="C90" s="891"/>
      <c r="D90" s="910" t="s">
        <v>322</v>
      </c>
      <c r="E90" s="911"/>
      <c r="F90" s="911"/>
      <c r="G90" s="912"/>
      <c r="H90" s="806" t="s">
        <v>323</v>
      </c>
      <c r="I90" s="807"/>
      <c r="J90" s="807"/>
      <c r="K90" s="808"/>
    </row>
    <row r="91" spans="1:16" ht="13.5" hidden="1" customHeight="1" x14ac:dyDescent="0.25">
      <c r="A91" s="824"/>
      <c r="B91" s="825"/>
      <c r="C91" s="826"/>
      <c r="D91" s="824"/>
      <c r="E91" s="825"/>
      <c r="F91" s="825"/>
      <c r="G91" s="826"/>
      <c r="H91" s="824"/>
      <c r="I91" s="825"/>
      <c r="J91" s="825"/>
      <c r="K91" s="826"/>
    </row>
    <row r="92" spans="1:16" ht="13.5" hidden="1" customHeight="1" x14ac:dyDescent="0.25">
      <c r="A92" s="824"/>
      <c r="B92" s="825"/>
      <c r="C92" s="826"/>
      <c r="D92" s="824"/>
      <c r="E92" s="825"/>
      <c r="F92" s="825"/>
      <c r="G92" s="826"/>
      <c r="H92" s="824"/>
      <c r="I92" s="825"/>
      <c r="J92" s="825"/>
      <c r="K92" s="826"/>
    </row>
    <row r="93" spans="1:16" x14ac:dyDescent="0.25">
      <c r="A93" s="817" t="s">
        <v>247</v>
      </c>
      <c r="B93" s="817"/>
      <c r="C93" s="817"/>
      <c r="D93" s="817"/>
      <c r="E93" s="817"/>
      <c r="F93" s="817"/>
      <c r="G93" s="817"/>
      <c r="H93" s="817"/>
      <c r="I93" s="817"/>
      <c r="J93" s="817"/>
      <c r="K93" s="817"/>
      <c r="L93" s="817"/>
      <c r="M93" s="817"/>
      <c r="N93" s="817"/>
      <c r="O93" s="817"/>
      <c r="P93" s="817"/>
    </row>
    <row r="94" spans="1:16" ht="7.5" customHeight="1" x14ac:dyDescent="0.25"/>
    <row r="95" spans="1:16" x14ac:dyDescent="0.25">
      <c r="A95" s="4" t="s">
        <v>11</v>
      </c>
      <c r="E95" s="909" t="s">
        <v>73</v>
      </c>
      <c r="F95" s="909"/>
      <c r="G95" s="909"/>
      <c r="H95" s="909"/>
      <c r="I95" s="909"/>
      <c r="J95" s="909"/>
      <c r="K95" s="909"/>
      <c r="L95" s="909"/>
      <c r="M95" s="854" t="s">
        <v>314</v>
      </c>
      <c r="N95" s="855"/>
      <c r="O95" s="822" t="s">
        <v>535</v>
      </c>
      <c r="P95" s="822"/>
    </row>
    <row r="96" spans="1:16" x14ac:dyDescent="0.25">
      <c r="A96" s="886" t="s">
        <v>83</v>
      </c>
      <c r="B96" s="886"/>
      <c r="C96" s="886"/>
      <c r="D96" s="886"/>
      <c r="E96" s="886"/>
      <c r="F96" s="886"/>
      <c r="G96" s="886"/>
      <c r="H96" s="886"/>
      <c r="I96" s="886"/>
      <c r="J96" s="886"/>
      <c r="K96" s="886"/>
      <c r="L96" s="886"/>
      <c r="M96" s="854"/>
      <c r="N96" s="855"/>
      <c r="O96" s="822"/>
      <c r="P96" s="822"/>
    </row>
    <row r="97" spans="1:17" ht="22.5" customHeight="1" x14ac:dyDescent="0.25">
      <c r="A97" s="4" t="s">
        <v>12</v>
      </c>
      <c r="M97" s="854"/>
      <c r="N97" s="855"/>
      <c r="O97" s="822"/>
      <c r="P97" s="822"/>
    </row>
    <row r="98" spans="1:17" x14ac:dyDescent="0.25">
      <c r="A98" s="886" t="s">
        <v>74</v>
      </c>
      <c r="B98" s="886"/>
      <c r="C98" s="886"/>
      <c r="D98" s="886"/>
      <c r="E98" s="886"/>
      <c r="F98" s="886"/>
      <c r="G98" s="886"/>
      <c r="H98" s="886"/>
      <c r="I98" s="886"/>
      <c r="J98" s="886"/>
      <c r="K98" s="886"/>
      <c r="L98" s="886"/>
      <c r="M98" s="886"/>
      <c r="N98" s="886"/>
    </row>
    <row r="99" spans="1:17" ht="4.5" customHeight="1" x14ac:dyDescent="0.25">
      <c r="A99" s="619"/>
      <c r="B99" s="619"/>
      <c r="C99" s="619"/>
      <c r="D99" s="619"/>
      <c r="E99" s="619"/>
      <c r="F99" s="619"/>
      <c r="G99" s="619"/>
      <c r="H99" s="619"/>
      <c r="I99" s="619"/>
      <c r="J99" s="619"/>
      <c r="K99" s="619"/>
      <c r="L99" s="619"/>
      <c r="M99" s="619"/>
      <c r="N99" s="619"/>
    </row>
    <row r="100" spans="1:17" x14ac:dyDescent="0.25">
      <c r="A100" s="4" t="s">
        <v>13</v>
      </c>
    </row>
    <row r="101" spans="1:17" ht="5.25" customHeight="1" x14ac:dyDescent="0.25"/>
    <row r="102" spans="1:17" x14ac:dyDescent="0.25">
      <c r="A102" s="4" t="s">
        <v>16</v>
      </c>
    </row>
    <row r="103" spans="1:17" ht="7.5" customHeight="1" x14ac:dyDescent="0.25"/>
    <row r="104" spans="1:17" ht="33.75" customHeight="1" x14ac:dyDescent="0.25">
      <c r="A104" s="812" t="s">
        <v>17</v>
      </c>
      <c r="B104" s="812"/>
      <c r="C104" s="837" t="s">
        <v>18</v>
      </c>
      <c r="D104" s="838"/>
      <c r="E104" s="839"/>
      <c r="F104" s="875" t="s">
        <v>20</v>
      </c>
      <c r="G104" s="875"/>
      <c r="H104" s="812" t="s">
        <v>21</v>
      </c>
      <c r="I104" s="812"/>
      <c r="J104" s="812"/>
      <c r="K104" s="812"/>
      <c r="L104" s="812"/>
      <c r="M104" s="837" t="s">
        <v>22</v>
      </c>
      <c r="N104" s="838"/>
      <c r="O104" s="839"/>
      <c r="P104" s="812" t="s">
        <v>315</v>
      </c>
      <c r="Q104" s="812"/>
    </row>
    <row r="105" spans="1:17" s="188" customFormat="1" ht="24.75" customHeight="1" x14ac:dyDescent="0.2">
      <c r="A105" s="812"/>
      <c r="B105" s="812"/>
      <c r="C105" s="898" t="s">
        <v>19</v>
      </c>
      <c r="D105" s="898" t="s">
        <v>19</v>
      </c>
      <c r="E105" s="898" t="s">
        <v>19</v>
      </c>
      <c r="F105" s="898" t="s">
        <v>19</v>
      </c>
      <c r="G105" s="898" t="s">
        <v>19</v>
      </c>
      <c r="H105" s="812" t="s">
        <v>26</v>
      </c>
      <c r="I105" s="812"/>
      <c r="J105" s="812" t="s">
        <v>23</v>
      </c>
      <c r="K105" s="812"/>
      <c r="L105" s="812"/>
      <c r="M105" s="800" t="s">
        <v>561</v>
      </c>
      <c r="N105" s="800" t="s">
        <v>562</v>
      </c>
      <c r="O105" s="800" t="s">
        <v>563</v>
      </c>
      <c r="P105" s="813" t="s">
        <v>316</v>
      </c>
      <c r="Q105" s="814" t="s">
        <v>317</v>
      </c>
    </row>
    <row r="106" spans="1:17" s="188" customFormat="1" ht="16.5" customHeight="1" x14ac:dyDescent="0.2">
      <c r="A106" s="812"/>
      <c r="B106" s="812"/>
      <c r="C106" s="898"/>
      <c r="D106" s="898"/>
      <c r="E106" s="898"/>
      <c r="F106" s="898"/>
      <c r="G106" s="898"/>
      <c r="H106" s="812"/>
      <c r="I106" s="812"/>
      <c r="J106" s="882" t="s">
        <v>25</v>
      </c>
      <c r="K106" s="883"/>
      <c r="L106" s="7" t="s">
        <v>24</v>
      </c>
      <c r="M106" s="801"/>
      <c r="N106" s="801"/>
      <c r="O106" s="801"/>
      <c r="P106" s="813"/>
      <c r="Q106" s="815"/>
    </row>
    <row r="107" spans="1:17" s="198" customFormat="1" ht="7.5" x14ac:dyDescent="0.15">
      <c r="A107" s="876">
        <v>1</v>
      </c>
      <c r="B107" s="876"/>
      <c r="C107" s="621">
        <v>2</v>
      </c>
      <c r="D107" s="621">
        <v>3</v>
      </c>
      <c r="E107" s="621">
        <v>4</v>
      </c>
      <c r="F107" s="621">
        <v>5</v>
      </c>
      <c r="G107" s="621">
        <v>6</v>
      </c>
      <c r="H107" s="876">
        <v>7</v>
      </c>
      <c r="I107" s="876"/>
      <c r="J107" s="877">
        <v>8</v>
      </c>
      <c r="K107" s="878"/>
      <c r="L107" s="621">
        <v>9</v>
      </c>
      <c r="M107" s="621">
        <v>10</v>
      </c>
      <c r="N107" s="621">
        <v>11</v>
      </c>
      <c r="O107" s="621">
        <v>12</v>
      </c>
      <c r="P107" s="621">
        <v>13</v>
      </c>
      <c r="Q107" s="622">
        <v>14</v>
      </c>
    </row>
    <row r="108" spans="1:17" ht="30" customHeight="1" x14ac:dyDescent="0.25">
      <c r="A108" s="845" t="s">
        <v>505</v>
      </c>
      <c r="B108" s="846"/>
      <c r="C108" s="8"/>
      <c r="D108" s="8"/>
      <c r="E108" s="8"/>
      <c r="F108" s="8" t="s">
        <v>75</v>
      </c>
      <c r="G108" s="8"/>
      <c r="H108" s="905" t="s">
        <v>81</v>
      </c>
      <c r="I108" s="906"/>
      <c r="J108" s="907" t="s">
        <v>82</v>
      </c>
      <c r="K108" s="908"/>
      <c r="L108" s="189">
        <v>744</v>
      </c>
      <c r="M108" s="294" t="s">
        <v>242</v>
      </c>
      <c r="N108" s="294" t="s">
        <v>242</v>
      </c>
      <c r="O108" s="294" t="s">
        <v>242</v>
      </c>
      <c r="P108" s="649"/>
      <c r="Q108" s="1"/>
    </row>
    <row r="109" spans="1:17" ht="30" hidden="1" customHeight="1" x14ac:dyDescent="0.3">
      <c r="A109" s="845"/>
      <c r="B109" s="846"/>
      <c r="C109" s="8"/>
      <c r="D109" s="8"/>
      <c r="E109" s="8"/>
      <c r="F109" s="10" t="s">
        <v>76</v>
      </c>
      <c r="G109" s="8"/>
      <c r="H109" s="905" t="s">
        <v>81</v>
      </c>
      <c r="I109" s="906"/>
      <c r="J109" s="907" t="s">
        <v>82</v>
      </c>
      <c r="K109" s="908"/>
      <c r="L109" s="189">
        <v>744</v>
      </c>
      <c r="M109" s="294" t="s">
        <v>242</v>
      </c>
      <c r="N109" s="294" t="s">
        <v>242</v>
      </c>
      <c r="O109" s="294" t="s">
        <v>242</v>
      </c>
      <c r="P109" s="623"/>
      <c r="Q109" s="1"/>
    </row>
    <row r="110" spans="1:17" ht="13.9" hidden="1" x14ac:dyDescent="0.25">
      <c r="A110" s="824"/>
      <c r="B110" s="826"/>
      <c r="C110" s="1"/>
      <c r="D110" s="1"/>
      <c r="E110" s="1"/>
      <c r="F110" s="1"/>
      <c r="G110" s="1"/>
      <c r="H110" s="824"/>
      <c r="I110" s="826"/>
      <c r="J110" s="824"/>
      <c r="K110" s="826"/>
      <c r="L110" s="1"/>
      <c r="M110" s="1"/>
      <c r="N110" s="1"/>
      <c r="O110" s="824"/>
      <c r="P110" s="826"/>
    </row>
    <row r="111" spans="1:17" ht="13.9" hidden="1" x14ac:dyDescent="0.25">
      <c r="A111" s="824"/>
      <c r="B111" s="826"/>
      <c r="C111" s="1"/>
      <c r="D111" s="1"/>
      <c r="E111" s="1"/>
      <c r="F111" s="1"/>
      <c r="G111" s="1"/>
      <c r="H111" s="824"/>
      <c r="I111" s="826"/>
      <c r="J111" s="824"/>
      <c r="K111" s="826"/>
      <c r="L111" s="1"/>
      <c r="M111" s="1"/>
      <c r="N111" s="1"/>
      <c r="O111" s="824"/>
      <c r="P111" s="826"/>
    </row>
    <row r="112" spans="1:17" ht="13.9" hidden="1" x14ac:dyDescent="0.25">
      <c r="A112" s="824"/>
      <c r="B112" s="826"/>
      <c r="C112" s="1"/>
      <c r="D112" s="1"/>
      <c r="E112" s="1"/>
      <c r="F112" s="1"/>
      <c r="G112" s="1"/>
      <c r="H112" s="824"/>
      <c r="I112" s="826"/>
      <c r="J112" s="824"/>
      <c r="K112" s="826"/>
      <c r="L112" s="1"/>
      <c r="M112" s="1"/>
      <c r="N112" s="1"/>
      <c r="O112" s="824"/>
      <c r="P112" s="826"/>
    </row>
    <row r="113" spans="1:18" ht="13.9" hidden="1" x14ac:dyDescent="0.25">
      <c r="A113" s="824"/>
      <c r="B113" s="826"/>
      <c r="C113" s="1"/>
      <c r="D113" s="1"/>
      <c r="E113" s="1"/>
      <c r="F113" s="1"/>
      <c r="G113" s="1"/>
      <c r="H113" s="824"/>
      <c r="I113" s="826"/>
      <c r="J113" s="824"/>
      <c r="K113" s="826"/>
      <c r="L113" s="1"/>
      <c r="M113" s="1"/>
      <c r="N113" s="1"/>
      <c r="O113" s="824"/>
      <c r="P113" s="826"/>
    </row>
    <row r="114" spans="1:18" ht="13.9" hidden="1" x14ac:dyDescent="0.25">
      <c r="A114" s="824"/>
      <c r="B114" s="826"/>
      <c r="C114" s="1"/>
      <c r="D114" s="1"/>
      <c r="E114" s="1"/>
      <c r="F114" s="1"/>
      <c r="G114" s="1"/>
      <c r="H114" s="824"/>
      <c r="I114" s="826"/>
      <c r="J114" s="824"/>
      <c r="K114" s="826"/>
      <c r="L114" s="1"/>
      <c r="M114" s="1"/>
      <c r="N114" s="1"/>
      <c r="O114" s="824"/>
      <c r="P114" s="826"/>
    </row>
    <row r="115" spans="1:18" ht="13.9" hidden="1" x14ac:dyDescent="0.25">
      <c r="A115" s="824"/>
      <c r="B115" s="826"/>
      <c r="C115" s="1"/>
      <c r="D115" s="1"/>
      <c r="E115" s="1"/>
      <c r="F115" s="1"/>
      <c r="G115" s="1"/>
      <c r="H115" s="824"/>
      <c r="I115" s="826"/>
      <c r="J115" s="824"/>
      <c r="K115" s="826"/>
      <c r="L115" s="1"/>
      <c r="M115" s="1"/>
      <c r="N115" s="1"/>
      <c r="O115" s="824"/>
      <c r="P115" s="826"/>
    </row>
    <row r="116" spans="1:18" ht="7.5" customHeight="1" x14ac:dyDescent="0.25"/>
    <row r="117" spans="1:18" s="6" customFormat="1" x14ac:dyDescent="0.25"/>
    <row r="118" spans="1:18" s="6" customFormat="1" ht="13.9" hidden="1" x14ac:dyDescent="0.25">
      <c r="C118" s="867"/>
      <c r="D118" s="867"/>
    </row>
    <row r="119" spans="1:18" ht="3" customHeight="1" x14ac:dyDescent="0.25">
      <c r="D119" s="619"/>
    </row>
    <row r="120" spans="1:18" x14ac:dyDescent="0.25">
      <c r="A120" s="4" t="s">
        <v>37</v>
      </c>
    </row>
    <row r="121" spans="1:18" ht="5.25" customHeight="1" x14ac:dyDescent="0.25"/>
    <row r="122" spans="1:18" ht="30.75" customHeight="1" x14ac:dyDescent="0.25">
      <c r="A122" s="899" t="s">
        <v>17</v>
      </c>
      <c r="B122" s="900"/>
      <c r="C122" s="837" t="s">
        <v>18</v>
      </c>
      <c r="D122" s="838"/>
      <c r="E122" s="839"/>
      <c r="F122" s="875" t="s">
        <v>20</v>
      </c>
      <c r="G122" s="875"/>
      <c r="H122" s="812" t="s">
        <v>29</v>
      </c>
      <c r="I122" s="812"/>
      <c r="J122" s="812"/>
      <c r="K122" s="812" t="s">
        <v>30</v>
      </c>
      <c r="L122" s="812"/>
      <c r="M122" s="812"/>
      <c r="N122" s="838" t="s">
        <v>31</v>
      </c>
      <c r="O122" s="838"/>
      <c r="P122" s="839"/>
      <c r="Q122" s="812" t="s">
        <v>459</v>
      </c>
      <c r="R122" s="812"/>
    </row>
    <row r="123" spans="1:18" ht="42" customHeight="1" x14ac:dyDescent="0.25">
      <c r="A123" s="901"/>
      <c r="B123" s="902"/>
      <c r="C123" s="898" t="s">
        <v>19</v>
      </c>
      <c r="D123" s="898" t="s">
        <v>19</v>
      </c>
      <c r="E123" s="898" t="s">
        <v>19</v>
      </c>
      <c r="F123" s="898" t="s">
        <v>19</v>
      </c>
      <c r="G123" s="898" t="s">
        <v>19</v>
      </c>
      <c r="H123" s="812" t="s">
        <v>26</v>
      </c>
      <c r="I123" s="812" t="s">
        <v>23</v>
      </c>
      <c r="J123" s="812"/>
      <c r="K123" s="800" t="s">
        <v>561</v>
      </c>
      <c r="L123" s="800" t="s">
        <v>562</v>
      </c>
      <c r="M123" s="800" t="s">
        <v>563</v>
      </c>
      <c r="N123" s="800" t="s">
        <v>561</v>
      </c>
      <c r="O123" s="800" t="s">
        <v>562</v>
      </c>
      <c r="P123" s="800" t="s">
        <v>563</v>
      </c>
      <c r="Q123" s="813" t="s">
        <v>316</v>
      </c>
      <c r="R123" s="814" t="s">
        <v>317</v>
      </c>
    </row>
    <row r="124" spans="1:18" ht="13.5" customHeight="1" x14ac:dyDescent="0.25">
      <c r="A124" s="903"/>
      <c r="B124" s="904"/>
      <c r="C124" s="898"/>
      <c r="D124" s="898"/>
      <c r="E124" s="898"/>
      <c r="F124" s="898"/>
      <c r="G124" s="898"/>
      <c r="H124" s="812"/>
      <c r="I124" s="614" t="s">
        <v>33</v>
      </c>
      <c r="J124" s="7" t="s">
        <v>24</v>
      </c>
      <c r="K124" s="801"/>
      <c r="L124" s="801"/>
      <c r="M124" s="801"/>
      <c r="N124" s="801"/>
      <c r="O124" s="801"/>
      <c r="P124" s="801"/>
      <c r="Q124" s="813"/>
      <c r="R124" s="815"/>
    </row>
    <row r="125" spans="1:18" s="198" customFormat="1" ht="7.5" x14ac:dyDescent="0.15">
      <c r="A125" s="863">
        <v>1</v>
      </c>
      <c r="B125" s="864"/>
      <c r="C125" s="621">
        <v>2</v>
      </c>
      <c r="D125" s="621">
        <v>3</v>
      </c>
      <c r="E125" s="621">
        <v>4</v>
      </c>
      <c r="F125" s="621">
        <v>5</v>
      </c>
      <c r="G125" s="621">
        <v>6</v>
      </c>
      <c r="H125" s="621">
        <v>7</v>
      </c>
      <c r="I125" s="621">
        <v>8</v>
      </c>
      <c r="J125" s="621">
        <v>9</v>
      </c>
      <c r="K125" s="621">
        <v>10</v>
      </c>
      <c r="L125" s="621">
        <v>11</v>
      </c>
      <c r="M125" s="621">
        <v>12</v>
      </c>
      <c r="N125" s="621">
        <v>13</v>
      </c>
      <c r="O125" s="621">
        <v>14</v>
      </c>
      <c r="P125" s="621">
        <v>15</v>
      </c>
      <c r="Q125" s="621">
        <v>13</v>
      </c>
      <c r="R125" s="622">
        <v>14</v>
      </c>
    </row>
    <row r="126" spans="1:18" ht="25.5" customHeight="1" x14ac:dyDescent="0.25">
      <c r="A126" s="845" t="str">
        <f>A108</f>
        <v>802111О.99.0.БА96АЧ08001</v>
      </c>
      <c r="B126" s="846"/>
      <c r="C126" s="8"/>
      <c r="D126" s="8"/>
      <c r="E126" s="8"/>
      <c r="F126" s="8" t="s">
        <v>75</v>
      </c>
      <c r="G126" s="8"/>
      <c r="H126" s="10" t="s">
        <v>77</v>
      </c>
      <c r="I126" s="9" t="s">
        <v>78</v>
      </c>
      <c r="J126" s="8">
        <v>792</v>
      </c>
      <c r="K126" s="8">
        <f>'проверка 2020'!K4</f>
        <v>226</v>
      </c>
      <c r="L126" s="8">
        <f>'проверка 2021'!K4</f>
        <v>248</v>
      </c>
      <c r="M126" s="8">
        <f>'проверка 2022'!K4</f>
        <v>269</v>
      </c>
      <c r="N126" s="8"/>
      <c r="O126" s="8"/>
      <c r="P126" s="8"/>
      <c r="Q126" s="649">
        <v>0.05</v>
      </c>
      <c r="R126" s="1"/>
    </row>
    <row r="127" spans="1:18" ht="23.25" hidden="1" customHeight="1" x14ac:dyDescent="0.25">
      <c r="A127" s="845">
        <f>A109</f>
        <v>0</v>
      </c>
      <c r="B127" s="846"/>
      <c r="C127" s="8"/>
      <c r="D127" s="8"/>
      <c r="E127" s="8"/>
      <c r="F127" s="10" t="s">
        <v>76</v>
      </c>
      <c r="G127" s="8"/>
      <c r="H127" s="10" t="s">
        <v>77</v>
      </c>
      <c r="I127" s="9" t="s">
        <v>78</v>
      </c>
      <c r="J127" s="8">
        <v>792</v>
      </c>
      <c r="K127" s="8"/>
      <c r="L127" s="8"/>
      <c r="M127" s="8"/>
      <c r="N127" s="8"/>
      <c r="O127" s="9"/>
      <c r="P127" s="9"/>
      <c r="Q127" s="623"/>
      <c r="R127" s="1"/>
    </row>
    <row r="128" spans="1:18" ht="13.9" hidden="1" x14ac:dyDescent="0.25">
      <c r="A128" s="9"/>
      <c r="B128" s="9"/>
      <c r="C128" s="8"/>
      <c r="D128" s="8"/>
      <c r="E128" s="8"/>
      <c r="F128" s="8"/>
      <c r="G128" s="8"/>
      <c r="H128" s="9"/>
      <c r="I128" s="9"/>
      <c r="J128" s="8"/>
      <c r="K128" s="8"/>
      <c r="L128" s="8"/>
      <c r="M128" s="8"/>
      <c r="N128" s="8"/>
      <c r="O128" s="193"/>
      <c r="P128" s="194"/>
    </row>
    <row r="129" spans="1:21" ht="13.9" hidden="1" x14ac:dyDescent="0.25">
      <c r="A129" s="3"/>
      <c r="B129" s="3"/>
      <c r="C129" s="1"/>
      <c r="D129" s="1"/>
      <c r="E129" s="1"/>
      <c r="F129" s="1"/>
      <c r="G129" s="1"/>
      <c r="H129" s="3"/>
      <c r="I129" s="3"/>
      <c r="J129" s="1"/>
      <c r="K129" s="1"/>
      <c r="L129" s="1"/>
      <c r="M129" s="1"/>
      <c r="N129" s="1"/>
      <c r="O129" s="195"/>
      <c r="P129" s="196"/>
    </row>
    <row r="130" spans="1:21" ht="13.9" hidden="1" x14ac:dyDescent="0.25">
      <c r="A130" s="3"/>
      <c r="B130" s="3"/>
      <c r="C130" s="1"/>
      <c r="D130" s="1"/>
      <c r="E130" s="1"/>
      <c r="F130" s="1"/>
      <c r="G130" s="1"/>
      <c r="H130" s="3"/>
      <c r="I130" s="3"/>
      <c r="J130" s="1"/>
      <c r="K130" s="1"/>
      <c r="L130" s="1"/>
      <c r="M130" s="1"/>
      <c r="N130" s="1"/>
      <c r="O130" s="195"/>
      <c r="P130" s="196"/>
    </row>
    <row r="131" spans="1:21" ht="13.9" hidden="1" x14ac:dyDescent="0.25">
      <c r="A131" s="3"/>
      <c r="B131" s="3"/>
      <c r="C131" s="1"/>
      <c r="D131" s="1"/>
      <c r="E131" s="1"/>
      <c r="F131" s="1"/>
      <c r="G131" s="1"/>
      <c r="H131" s="3"/>
      <c r="I131" s="3"/>
      <c r="J131" s="1"/>
      <c r="K131" s="1"/>
      <c r="L131" s="1"/>
      <c r="M131" s="1"/>
      <c r="N131" s="1"/>
      <c r="O131" s="195"/>
      <c r="P131" s="196"/>
    </row>
    <row r="132" spans="1:21" ht="13.9" hidden="1" x14ac:dyDescent="0.25">
      <c r="A132" s="3"/>
      <c r="B132" s="3"/>
      <c r="C132" s="1"/>
      <c r="D132" s="1"/>
      <c r="E132" s="1"/>
      <c r="F132" s="1"/>
      <c r="G132" s="1"/>
      <c r="H132" s="3"/>
      <c r="I132" s="3"/>
      <c r="J132" s="1"/>
      <c r="K132" s="1"/>
      <c r="L132" s="1"/>
      <c r="M132" s="1"/>
      <c r="N132" s="1"/>
      <c r="O132" s="195"/>
      <c r="P132" s="196"/>
    </row>
    <row r="133" spans="1:21" ht="13.9" hidden="1" x14ac:dyDescent="0.25">
      <c r="A133" s="3"/>
      <c r="B133" s="3"/>
      <c r="C133" s="1"/>
      <c r="D133" s="1"/>
      <c r="E133" s="1"/>
      <c r="F133" s="1"/>
      <c r="G133" s="1"/>
      <c r="H133" s="3"/>
      <c r="I133" s="3"/>
      <c r="J133" s="1"/>
      <c r="K133" s="1"/>
      <c r="L133" s="1"/>
      <c r="M133" s="1"/>
      <c r="N133" s="1"/>
      <c r="O133" s="195"/>
      <c r="P133" s="196"/>
    </row>
    <row r="134" spans="1:21" ht="6" customHeight="1" x14ac:dyDescent="0.25"/>
    <row r="135" spans="1:21" s="6" customFormat="1" x14ac:dyDescent="0.25"/>
    <row r="136" spans="1:21" s="6" customFormat="1" ht="13.9" hidden="1" x14ac:dyDescent="0.25">
      <c r="C136" s="867"/>
      <c r="D136" s="867"/>
    </row>
    <row r="137" spans="1:21" ht="2.25" customHeight="1" x14ac:dyDescent="0.25">
      <c r="D137" s="619"/>
    </row>
    <row r="138" spans="1:21" x14ac:dyDescent="0.25">
      <c r="A138" s="4" t="s">
        <v>38</v>
      </c>
    </row>
    <row r="139" spans="1:21" ht="3" customHeight="1" x14ac:dyDescent="0.25"/>
    <row r="140" spans="1:21" x14ac:dyDescent="0.25">
      <c r="A140" s="822" t="s">
        <v>43</v>
      </c>
      <c r="B140" s="822"/>
      <c r="C140" s="822"/>
      <c r="D140" s="822"/>
      <c r="E140" s="822"/>
      <c r="F140" s="822"/>
      <c r="G140" s="822"/>
      <c r="H140" s="822"/>
      <c r="I140" s="822"/>
      <c r="J140" s="822"/>
      <c r="K140" s="822"/>
      <c r="L140" s="822"/>
      <c r="M140" s="822"/>
      <c r="N140" s="822"/>
      <c r="O140" s="822"/>
      <c r="P140" s="822"/>
    </row>
    <row r="141" spans="1:21" x14ac:dyDescent="0.25">
      <c r="A141" s="618" t="s">
        <v>39</v>
      </c>
      <c r="B141" s="822" t="s">
        <v>40</v>
      </c>
      <c r="C141" s="822"/>
      <c r="D141" s="822"/>
      <c r="E141" s="618" t="s">
        <v>41</v>
      </c>
      <c r="F141" s="618" t="s">
        <v>42</v>
      </c>
      <c r="G141" s="822" t="s">
        <v>25</v>
      </c>
      <c r="H141" s="822"/>
      <c r="I141" s="822"/>
      <c r="J141" s="822"/>
      <c r="K141" s="822"/>
      <c r="L141" s="822"/>
      <c r="M141" s="822"/>
      <c r="N141" s="822"/>
      <c r="O141" s="822"/>
      <c r="P141" s="822"/>
      <c r="U141" s="4" t="s">
        <v>97</v>
      </c>
    </row>
    <row r="142" spans="1:21" s="198" customFormat="1" ht="7.5" x14ac:dyDescent="0.15">
      <c r="A142" s="622">
        <v>1</v>
      </c>
      <c r="B142" s="893">
        <v>2</v>
      </c>
      <c r="C142" s="893"/>
      <c r="D142" s="893"/>
      <c r="E142" s="622">
        <v>3</v>
      </c>
      <c r="F142" s="622">
        <v>4</v>
      </c>
      <c r="G142" s="893">
        <v>5</v>
      </c>
      <c r="H142" s="893"/>
      <c r="I142" s="893"/>
      <c r="J142" s="893"/>
      <c r="K142" s="893"/>
      <c r="L142" s="893"/>
      <c r="M142" s="893"/>
      <c r="N142" s="893"/>
      <c r="O142" s="893"/>
      <c r="P142" s="893"/>
    </row>
    <row r="143" spans="1:21" s="756" customFormat="1" ht="36" customHeight="1" x14ac:dyDescent="0.2">
      <c r="A143" s="734" t="s">
        <v>243</v>
      </c>
      <c r="B143" s="829" t="s">
        <v>244</v>
      </c>
      <c r="C143" s="830"/>
      <c r="D143" s="831"/>
      <c r="E143" s="755">
        <v>43306</v>
      </c>
      <c r="F143" s="734">
        <v>129</v>
      </c>
      <c r="G143" s="832" t="s">
        <v>558</v>
      </c>
      <c r="H143" s="833"/>
      <c r="I143" s="833"/>
      <c r="J143" s="833"/>
      <c r="K143" s="833"/>
      <c r="L143" s="833"/>
      <c r="M143" s="833"/>
      <c r="N143" s="833"/>
      <c r="O143" s="833"/>
      <c r="P143" s="834"/>
    </row>
    <row r="144" spans="1:21" s="188" customFormat="1" ht="36.6" customHeight="1" x14ac:dyDescent="0.2">
      <c r="A144" s="8" t="s">
        <v>456</v>
      </c>
      <c r="B144" s="894" t="s">
        <v>457</v>
      </c>
      <c r="C144" s="894"/>
      <c r="D144" s="894"/>
      <c r="E144" s="197">
        <v>43822</v>
      </c>
      <c r="F144" s="725" t="s">
        <v>573</v>
      </c>
      <c r="G144" s="895" t="s">
        <v>572</v>
      </c>
      <c r="H144" s="895"/>
      <c r="I144" s="895"/>
      <c r="J144" s="895"/>
      <c r="K144" s="895"/>
      <c r="L144" s="895"/>
      <c r="M144" s="895"/>
      <c r="N144" s="895"/>
      <c r="O144" s="895"/>
      <c r="P144" s="895"/>
    </row>
    <row r="145" spans="1:16" s="188" customFormat="1" ht="28.15" customHeight="1" x14ac:dyDescent="0.2">
      <c r="A145" s="8" t="s">
        <v>456</v>
      </c>
      <c r="B145" s="894" t="s">
        <v>457</v>
      </c>
      <c r="C145" s="894"/>
      <c r="D145" s="894"/>
      <c r="E145" s="197">
        <v>43600</v>
      </c>
      <c r="F145" s="730" t="s">
        <v>560</v>
      </c>
      <c r="G145" s="880" t="s">
        <v>559</v>
      </c>
      <c r="H145" s="896"/>
      <c r="I145" s="896"/>
      <c r="J145" s="896"/>
      <c r="K145" s="896"/>
      <c r="L145" s="896"/>
      <c r="M145" s="896"/>
      <c r="N145" s="896"/>
      <c r="O145" s="896"/>
      <c r="P145" s="881"/>
    </row>
    <row r="146" spans="1:16" s="188" customFormat="1" ht="10.5" hidden="1" customHeight="1" x14ac:dyDescent="0.2">
      <c r="A146" s="8"/>
      <c r="B146" s="827"/>
      <c r="C146" s="827"/>
      <c r="D146" s="827"/>
      <c r="E146" s="8"/>
      <c r="F146" s="8"/>
      <c r="G146" s="843"/>
      <c r="H146" s="843"/>
      <c r="I146" s="843"/>
      <c r="J146" s="843"/>
      <c r="K146" s="843"/>
      <c r="L146" s="843"/>
      <c r="M146" s="843"/>
      <c r="N146" s="843"/>
      <c r="O146" s="843"/>
      <c r="P146" s="843"/>
    </row>
    <row r="147" spans="1:16" ht="9.75" customHeight="1" x14ac:dyDescent="0.25"/>
    <row r="148" spans="1:16" x14ac:dyDescent="0.25">
      <c r="A148" s="4" t="s">
        <v>44</v>
      </c>
    </row>
    <row r="149" spans="1:16" ht="8.25" customHeight="1" x14ac:dyDescent="0.25"/>
    <row r="150" spans="1:16" x14ac:dyDescent="0.25">
      <c r="A150" s="4" t="s">
        <v>45</v>
      </c>
    </row>
    <row r="151" spans="1:16" ht="88.9" customHeight="1" x14ac:dyDescent="0.25">
      <c r="A151" s="860" t="s">
        <v>327</v>
      </c>
      <c r="B151" s="860"/>
      <c r="C151" s="860"/>
      <c r="D151" s="860"/>
      <c r="E151" s="860"/>
      <c r="F151" s="860"/>
      <c r="G151" s="860"/>
      <c r="H151" s="860"/>
      <c r="I151" s="860"/>
      <c r="J151" s="860"/>
      <c r="K151" s="860"/>
      <c r="L151" s="860"/>
      <c r="M151" s="860"/>
      <c r="N151" s="860"/>
      <c r="O151" s="860"/>
      <c r="P151" s="860"/>
    </row>
    <row r="152" spans="1:16" x14ac:dyDescent="0.25">
      <c r="A152" s="892" t="s">
        <v>46</v>
      </c>
      <c r="B152" s="892"/>
      <c r="C152" s="892"/>
      <c r="D152" s="892"/>
      <c r="E152" s="892"/>
      <c r="F152" s="892"/>
      <c r="G152" s="892"/>
      <c r="H152" s="892"/>
      <c r="I152" s="892"/>
      <c r="J152" s="892"/>
      <c r="K152" s="892"/>
      <c r="L152" s="892"/>
    </row>
    <row r="153" spans="1:16" ht="3.75" customHeight="1" x14ac:dyDescent="0.25"/>
    <row r="154" spans="1:16" x14ac:dyDescent="0.25">
      <c r="A154" s="4" t="s">
        <v>47</v>
      </c>
    </row>
    <row r="156" spans="1:16" x14ac:dyDescent="0.25">
      <c r="A156" s="822" t="s">
        <v>48</v>
      </c>
      <c r="B156" s="822"/>
      <c r="C156" s="822"/>
      <c r="D156" s="822" t="s">
        <v>49</v>
      </c>
      <c r="E156" s="822"/>
      <c r="F156" s="822"/>
      <c r="G156" s="822"/>
      <c r="H156" s="822" t="s">
        <v>50</v>
      </c>
      <c r="I156" s="822"/>
      <c r="J156" s="822"/>
      <c r="K156" s="822"/>
    </row>
    <row r="157" spans="1:16" s="198" customFormat="1" ht="7.5" x14ac:dyDescent="0.15">
      <c r="A157" s="893">
        <v>1</v>
      </c>
      <c r="B157" s="893"/>
      <c r="C157" s="893"/>
      <c r="D157" s="893">
        <v>2</v>
      </c>
      <c r="E157" s="893"/>
      <c r="F157" s="893"/>
      <c r="G157" s="893"/>
      <c r="H157" s="893">
        <v>3</v>
      </c>
      <c r="I157" s="893"/>
      <c r="J157" s="893"/>
      <c r="K157" s="893"/>
    </row>
    <row r="158" spans="1:16" ht="358.5" customHeight="1" x14ac:dyDescent="0.25">
      <c r="A158" s="889" t="s">
        <v>251</v>
      </c>
      <c r="B158" s="890"/>
      <c r="C158" s="891"/>
      <c r="D158" s="910" t="s">
        <v>322</v>
      </c>
      <c r="E158" s="911"/>
      <c r="F158" s="911"/>
      <c r="G158" s="912"/>
      <c r="H158" s="806" t="s">
        <v>323</v>
      </c>
      <c r="I158" s="807"/>
      <c r="J158" s="807"/>
      <c r="K158" s="808"/>
    </row>
    <row r="159" spans="1:16" ht="34.5" hidden="1" customHeight="1" x14ac:dyDescent="0.25">
      <c r="A159" s="824"/>
      <c r="B159" s="825"/>
      <c r="C159" s="826"/>
      <c r="D159" s="824"/>
      <c r="E159" s="825"/>
      <c r="F159" s="825"/>
      <c r="G159" s="826"/>
      <c r="H159" s="824"/>
      <c r="I159" s="825"/>
      <c r="J159" s="825"/>
      <c r="K159" s="826"/>
    </row>
    <row r="160" spans="1:16" ht="99.75" hidden="1" customHeight="1" x14ac:dyDescent="0.25">
      <c r="A160" s="824"/>
      <c r="B160" s="825"/>
      <c r="C160" s="826"/>
      <c r="D160" s="824"/>
      <c r="E160" s="825"/>
      <c r="F160" s="825"/>
      <c r="G160" s="826"/>
      <c r="H160" s="824"/>
      <c r="I160" s="825"/>
      <c r="J160" s="825"/>
      <c r="K160" s="826"/>
    </row>
    <row r="161" spans="1:17" x14ac:dyDescent="0.25">
      <c r="A161" s="817" t="s">
        <v>248</v>
      </c>
      <c r="B161" s="817"/>
      <c r="C161" s="817"/>
      <c r="D161" s="817"/>
      <c r="E161" s="817"/>
      <c r="F161" s="817"/>
      <c r="G161" s="817"/>
      <c r="H161" s="817"/>
      <c r="I161" s="817"/>
      <c r="J161" s="817"/>
      <c r="K161" s="817"/>
      <c r="L161" s="817"/>
      <c r="M161" s="817"/>
      <c r="N161" s="817"/>
      <c r="O161" s="817"/>
      <c r="P161" s="817"/>
    </row>
    <row r="162" spans="1:17" ht="7.5" customHeight="1" x14ac:dyDescent="0.25"/>
    <row r="163" spans="1:17" x14ac:dyDescent="0.25">
      <c r="A163" s="4" t="s">
        <v>11</v>
      </c>
      <c r="E163" s="909" t="s">
        <v>73</v>
      </c>
      <c r="F163" s="909"/>
      <c r="G163" s="909"/>
      <c r="H163" s="909"/>
      <c r="I163" s="909"/>
      <c r="J163" s="909"/>
      <c r="K163" s="909"/>
      <c r="L163" s="909"/>
      <c r="M163" s="854" t="s">
        <v>314</v>
      </c>
      <c r="N163" s="855"/>
      <c r="O163" s="822" t="s">
        <v>536</v>
      </c>
      <c r="P163" s="822"/>
    </row>
    <row r="164" spans="1:17" x14ac:dyDescent="0.25">
      <c r="A164" s="886" t="s">
        <v>84</v>
      </c>
      <c r="B164" s="886"/>
      <c r="C164" s="886"/>
      <c r="D164" s="886"/>
      <c r="E164" s="886"/>
      <c r="F164" s="886"/>
      <c r="G164" s="886"/>
      <c r="H164" s="886"/>
      <c r="I164" s="886"/>
      <c r="J164" s="886"/>
      <c r="K164" s="886"/>
      <c r="L164" s="886"/>
      <c r="M164" s="854"/>
      <c r="N164" s="855"/>
      <c r="O164" s="822"/>
      <c r="P164" s="822"/>
    </row>
    <row r="165" spans="1:17" ht="21" customHeight="1" x14ac:dyDescent="0.25">
      <c r="A165" s="4" t="s">
        <v>12</v>
      </c>
      <c r="M165" s="854"/>
      <c r="N165" s="855"/>
      <c r="O165" s="822"/>
      <c r="P165" s="822"/>
    </row>
    <row r="166" spans="1:17" x14ac:dyDescent="0.25">
      <c r="A166" s="886" t="s">
        <v>74</v>
      </c>
      <c r="B166" s="886"/>
      <c r="C166" s="886"/>
      <c r="D166" s="886"/>
      <c r="E166" s="886"/>
      <c r="F166" s="886"/>
      <c r="G166" s="886"/>
      <c r="H166" s="886"/>
      <c r="I166" s="886"/>
      <c r="J166" s="886"/>
      <c r="K166" s="886"/>
      <c r="L166" s="886"/>
      <c r="M166" s="886"/>
      <c r="N166" s="886"/>
    </row>
    <row r="167" spans="1:17" ht="4.5" customHeight="1" x14ac:dyDescent="0.25">
      <c r="A167" s="619"/>
      <c r="B167" s="619"/>
      <c r="C167" s="619"/>
      <c r="D167" s="619"/>
      <c r="E167" s="619"/>
      <c r="F167" s="619"/>
      <c r="G167" s="619"/>
      <c r="H167" s="619"/>
      <c r="I167" s="619"/>
      <c r="J167" s="619"/>
      <c r="K167" s="619"/>
      <c r="L167" s="619"/>
      <c r="M167" s="619"/>
      <c r="N167" s="619"/>
    </row>
    <row r="168" spans="1:17" x14ac:dyDescent="0.25">
      <c r="A168" s="4" t="s">
        <v>13</v>
      </c>
    </row>
    <row r="169" spans="1:17" ht="5.25" customHeight="1" x14ac:dyDescent="0.25"/>
    <row r="170" spans="1:17" x14ac:dyDescent="0.25">
      <c r="A170" s="4" t="s">
        <v>16</v>
      </c>
    </row>
    <row r="171" spans="1:17" ht="7.5" customHeight="1" x14ac:dyDescent="0.25"/>
    <row r="172" spans="1:17" ht="34.5" customHeight="1" x14ac:dyDescent="0.25">
      <c r="A172" s="812" t="s">
        <v>17</v>
      </c>
      <c r="B172" s="812"/>
      <c r="C172" s="837" t="s">
        <v>18</v>
      </c>
      <c r="D172" s="838"/>
      <c r="E172" s="839"/>
      <c r="F172" s="875" t="s">
        <v>20</v>
      </c>
      <c r="G172" s="875"/>
      <c r="H172" s="812" t="s">
        <v>21</v>
      </c>
      <c r="I172" s="812"/>
      <c r="J172" s="812"/>
      <c r="K172" s="812"/>
      <c r="L172" s="812"/>
      <c r="M172" s="837" t="s">
        <v>22</v>
      </c>
      <c r="N172" s="838"/>
      <c r="O172" s="839"/>
      <c r="P172" s="812" t="s">
        <v>315</v>
      </c>
      <c r="Q172" s="812"/>
    </row>
    <row r="173" spans="1:17" s="188" customFormat="1" ht="24.75" customHeight="1" x14ac:dyDescent="0.2">
      <c r="A173" s="812"/>
      <c r="B173" s="812"/>
      <c r="C173" s="898" t="s">
        <v>19</v>
      </c>
      <c r="D173" s="898" t="s">
        <v>19</v>
      </c>
      <c r="E173" s="898" t="s">
        <v>19</v>
      </c>
      <c r="F173" s="898" t="s">
        <v>19</v>
      </c>
      <c r="G173" s="898" t="s">
        <v>19</v>
      </c>
      <c r="H173" s="812" t="s">
        <v>26</v>
      </c>
      <c r="I173" s="812"/>
      <c r="J173" s="812" t="s">
        <v>23</v>
      </c>
      <c r="K173" s="812"/>
      <c r="L173" s="812"/>
      <c r="M173" s="800" t="s">
        <v>561</v>
      </c>
      <c r="N173" s="800" t="s">
        <v>562</v>
      </c>
      <c r="O173" s="800" t="s">
        <v>563</v>
      </c>
      <c r="P173" s="813" t="s">
        <v>316</v>
      </c>
      <c r="Q173" s="814" t="s">
        <v>317</v>
      </c>
    </row>
    <row r="174" spans="1:17" s="188" customFormat="1" ht="16.5" customHeight="1" x14ac:dyDescent="0.2">
      <c r="A174" s="812"/>
      <c r="B174" s="812"/>
      <c r="C174" s="898"/>
      <c r="D174" s="898"/>
      <c r="E174" s="898"/>
      <c r="F174" s="898"/>
      <c r="G174" s="898"/>
      <c r="H174" s="812"/>
      <c r="I174" s="812"/>
      <c r="J174" s="882" t="s">
        <v>25</v>
      </c>
      <c r="K174" s="883"/>
      <c r="L174" s="7" t="s">
        <v>24</v>
      </c>
      <c r="M174" s="801"/>
      <c r="N174" s="801"/>
      <c r="O174" s="801"/>
      <c r="P174" s="813"/>
      <c r="Q174" s="815"/>
    </row>
    <row r="175" spans="1:17" s="198" customFormat="1" ht="7.5" x14ac:dyDescent="0.15">
      <c r="A175" s="876">
        <v>1</v>
      </c>
      <c r="B175" s="876"/>
      <c r="C175" s="621">
        <v>2</v>
      </c>
      <c r="D175" s="621">
        <v>3</v>
      </c>
      <c r="E175" s="621">
        <v>4</v>
      </c>
      <c r="F175" s="621">
        <v>5</v>
      </c>
      <c r="G175" s="621">
        <v>6</v>
      </c>
      <c r="H175" s="876">
        <v>7</v>
      </c>
      <c r="I175" s="876"/>
      <c r="J175" s="877">
        <v>8</v>
      </c>
      <c r="K175" s="878"/>
      <c r="L175" s="621">
        <v>9</v>
      </c>
      <c r="M175" s="621">
        <v>10</v>
      </c>
      <c r="N175" s="621">
        <v>11</v>
      </c>
      <c r="O175" s="621">
        <v>12</v>
      </c>
      <c r="P175" s="621">
        <v>13</v>
      </c>
      <c r="Q175" s="622">
        <v>14</v>
      </c>
    </row>
    <row r="176" spans="1:17" ht="30" customHeight="1" x14ac:dyDescent="0.25">
      <c r="A176" s="845" t="s">
        <v>506</v>
      </c>
      <c r="B176" s="846"/>
      <c r="C176" s="8"/>
      <c r="D176" s="8"/>
      <c r="E176" s="8"/>
      <c r="F176" s="8" t="s">
        <v>75</v>
      </c>
      <c r="G176" s="8"/>
      <c r="H176" s="905" t="s">
        <v>81</v>
      </c>
      <c r="I176" s="906"/>
      <c r="J176" s="907" t="s">
        <v>82</v>
      </c>
      <c r="K176" s="908"/>
      <c r="L176" s="189">
        <v>744</v>
      </c>
      <c r="M176" s="294" t="s">
        <v>242</v>
      </c>
      <c r="N176" s="294" t="s">
        <v>242</v>
      </c>
      <c r="O176" s="294" t="s">
        <v>242</v>
      </c>
      <c r="P176" s="623"/>
      <c r="Q176" s="1"/>
    </row>
    <row r="177" spans="1:18" ht="30.75" hidden="1" customHeight="1" x14ac:dyDescent="0.3">
      <c r="A177" s="845"/>
      <c r="B177" s="846"/>
      <c r="C177" s="8"/>
      <c r="D177" s="8"/>
      <c r="E177" s="8"/>
      <c r="F177" s="10" t="s">
        <v>76</v>
      </c>
      <c r="G177" s="8"/>
      <c r="H177" s="905" t="s">
        <v>81</v>
      </c>
      <c r="I177" s="906"/>
      <c r="J177" s="907" t="s">
        <v>82</v>
      </c>
      <c r="K177" s="908"/>
      <c r="L177" s="189">
        <v>744</v>
      </c>
      <c r="M177" s="294" t="s">
        <v>242</v>
      </c>
      <c r="N177" s="294" t="s">
        <v>242</v>
      </c>
      <c r="O177" s="294" t="s">
        <v>242</v>
      </c>
      <c r="P177" s="623"/>
      <c r="Q177" s="1"/>
    </row>
    <row r="178" spans="1:18" ht="13.9" hidden="1" x14ac:dyDescent="0.25">
      <c r="A178" s="824"/>
      <c r="B178" s="826"/>
      <c r="C178" s="1"/>
      <c r="D178" s="1"/>
      <c r="E178" s="1"/>
      <c r="F178" s="1"/>
      <c r="G178" s="1"/>
      <c r="H178" s="824"/>
      <c r="I178" s="826"/>
      <c r="J178" s="824"/>
      <c r="K178" s="826"/>
      <c r="L178" s="1"/>
      <c r="M178" s="1"/>
      <c r="N178" s="1"/>
      <c r="O178" s="824"/>
      <c r="P178" s="826"/>
    </row>
    <row r="179" spans="1:18" ht="13.9" hidden="1" x14ac:dyDescent="0.25">
      <c r="A179" s="824"/>
      <c r="B179" s="826"/>
      <c r="C179" s="1"/>
      <c r="D179" s="1"/>
      <c r="E179" s="1"/>
      <c r="F179" s="1"/>
      <c r="G179" s="1"/>
      <c r="H179" s="824"/>
      <c r="I179" s="826"/>
      <c r="J179" s="824"/>
      <c r="K179" s="826"/>
      <c r="L179" s="1"/>
      <c r="M179" s="1"/>
      <c r="N179" s="1"/>
      <c r="O179" s="824"/>
      <c r="P179" s="826"/>
    </row>
    <row r="180" spans="1:18" ht="13.9" hidden="1" x14ac:dyDescent="0.25">
      <c r="A180" s="824"/>
      <c r="B180" s="826"/>
      <c r="C180" s="1"/>
      <c r="D180" s="1"/>
      <c r="E180" s="1"/>
      <c r="F180" s="1"/>
      <c r="G180" s="1"/>
      <c r="H180" s="824"/>
      <c r="I180" s="826"/>
      <c r="J180" s="824"/>
      <c r="K180" s="826"/>
      <c r="L180" s="1"/>
      <c r="M180" s="1"/>
      <c r="N180" s="1"/>
      <c r="O180" s="824"/>
      <c r="P180" s="826"/>
    </row>
    <row r="181" spans="1:18" ht="13.9" hidden="1" x14ac:dyDescent="0.25">
      <c r="A181" s="824"/>
      <c r="B181" s="826"/>
      <c r="C181" s="1"/>
      <c r="D181" s="1"/>
      <c r="E181" s="1"/>
      <c r="F181" s="1"/>
      <c r="G181" s="1"/>
      <c r="H181" s="824"/>
      <c r="I181" s="826"/>
      <c r="J181" s="824"/>
      <c r="K181" s="826"/>
      <c r="L181" s="1"/>
      <c r="M181" s="1"/>
      <c r="N181" s="1"/>
      <c r="O181" s="824"/>
      <c r="P181" s="826"/>
    </row>
    <row r="182" spans="1:18" ht="13.9" hidden="1" x14ac:dyDescent="0.25">
      <c r="A182" s="824"/>
      <c r="B182" s="826"/>
      <c r="C182" s="1"/>
      <c r="D182" s="1"/>
      <c r="E182" s="1"/>
      <c r="F182" s="1"/>
      <c r="G182" s="1"/>
      <c r="H182" s="824"/>
      <c r="I182" s="826"/>
      <c r="J182" s="824"/>
      <c r="K182" s="826"/>
      <c r="L182" s="1"/>
      <c r="M182" s="1"/>
      <c r="N182" s="1"/>
      <c r="O182" s="824"/>
      <c r="P182" s="826"/>
    </row>
    <row r="183" spans="1:18" ht="13.9" hidden="1" x14ac:dyDescent="0.25">
      <c r="A183" s="824"/>
      <c r="B183" s="826"/>
      <c r="C183" s="1"/>
      <c r="D183" s="1"/>
      <c r="E183" s="1"/>
      <c r="F183" s="1"/>
      <c r="G183" s="1"/>
      <c r="H183" s="824"/>
      <c r="I183" s="826"/>
      <c r="J183" s="824"/>
      <c r="K183" s="826"/>
      <c r="L183" s="1"/>
      <c r="M183" s="1"/>
      <c r="N183" s="1"/>
      <c r="O183" s="824"/>
      <c r="P183" s="826"/>
    </row>
    <row r="184" spans="1:18" ht="7.5" customHeight="1" x14ac:dyDescent="0.25"/>
    <row r="185" spans="1:18" s="6" customFormat="1" ht="13.9" hidden="1" x14ac:dyDescent="0.25"/>
    <row r="186" spans="1:18" s="6" customFormat="1" ht="13.9" hidden="1" x14ac:dyDescent="0.25">
      <c r="C186" s="867"/>
      <c r="D186" s="867"/>
    </row>
    <row r="187" spans="1:18" ht="7.5" customHeight="1" x14ac:dyDescent="0.25">
      <c r="D187" s="619"/>
    </row>
    <row r="188" spans="1:18" x14ac:dyDescent="0.25">
      <c r="A188" s="4" t="s">
        <v>37</v>
      </c>
    </row>
    <row r="189" spans="1:18" ht="8.25" customHeight="1" x14ac:dyDescent="0.25"/>
    <row r="190" spans="1:18" ht="51" customHeight="1" x14ac:dyDescent="0.25">
      <c r="A190" s="899" t="s">
        <v>17</v>
      </c>
      <c r="B190" s="900"/>
      <c r="C190" s="837" t="s">
        <v>18</v>
      </c>
      <c r="D190" s="838"/>
      <c r="E190" s="839"/>
      <c r="F190" s="875" t="s">
        <v>20</v>
      </c>
      <c r="G190" s="875"/>
      <c r="H190" s="812" t="s">
        <v>29</v>
      </c>
      <c r="I190" s="812"/>
      <c r="J190" s="812"/>
      <c r="K190" s="812" t="s">
        <v>30</v>
      </c>
      <c r="L190" s="812"/>
      <c r="M190" s="812"/>
      <c r="N190" s="838" t="s">
        <v>31</v>
      </c>
      <c r="O190" s="838"/>
      <c r="P190" s="839"/>
      <c r="Q190" s="812" t="s">
        <v>459</v>
      </c>
      <c r="R190" s="812"/>
    </row>
    <row r="191" spans="1:18" ht="42" customHeight="1" x14ac:dyDescent="0.25">
      <c r="A191" s="901"/>
      <c r="B191" s="902"/>
      <c r="C191" s="898" t="s">
        <v>19</v>
      </c>
      <c r="D191" s="898" t="s">
        <v>19</v>
      </c>
      <c r="E191" s="898" t="s">
        <v>19</v>
      </c>
      <c r="F191" s="898" t="s">
        <v>19</v>
      </c>
      <c r="G191" s="898" t="s">
        <v>19</v>
      </c>
      <c r="H191" s="812" t="s">
        <v>26</v>
      </c>
      <c r="I191" s="812" t="s">
        <v>23</v>
      </c>
      <c r="J191" s="812"/>
      <c r="K191" s="800" t="s">
        <v>561</v>
      </c>
      <c r="L191" s="800" t="s">
        <v>562</v>
      </c>
      <c r="M191" s="800" t="s">
        <v>563</v>
      </c>
      <c r="N191" s="800" t="s">
        <v>561</v>
      </c>
      <c r="O191" s="800" t="s">
        <v>562</v>
      </c>
      <c r="P191" s="800" t="s">
        <v>563</v>
      </c>
      <c r="Q191" s="813" t="s">
        <v>316</v>
      </c>
      <c r="R191" s="814" t="s">
        <v>317</v>
      </c>
    </row>
    <row r="192" spans="1:18" ht="13.5" customHeight="1" x14ac:dyDescent="0.25">
      <c r="A192" s="903"/>
      <c r="B192" s="904"/>
      <c r="C192" s="898"/>
      <c r="D192" s="898"/>
      <c r="E192" s="898"/>
      <c r="F192" s="898"/>
      <c r="G192" s="898"/>
      <c r="H192" s="812"/>
      <c r="I192" s="614" t="s">
        <v>33</v>
      </c>
      <c r="J192" s="7" t="s">
        <v>24</v>
      </c>
      <c r="K192" s="801"/>
      <c r="L192" s="801"/>
      <c r="M192" s="801"/>
      <c r="N192" s="801"/>
      <c r="O192" s="801"/>
      <c r="P192" s="801"/>
      <c r="Q192" s="813"/>
      <c r="R192" s="815"/>
    </row>
    <row r="193" spans="1:18" s="198" customFormat="1" ht="7.5" x14ac:dyDescent="0.15">
      <c r="A193" s="863">
        <v>1</v>
      </c>
      <c r="B193" s="864"/>
      <c r="C193" s="621">
        <v>2</v>
      </c>
      <c r="D193" s="621">
        <v>3</v>
      </c>
      <c r="E193" s="621">
        <v>4</v>
      </c>
      <c r="F193" s="621">
        <v>5</v>
      </c>
      <c r="G193" s="621">
        <v>6</v>
      </c>
      <c r="H193" s="621">
        <v>7</v>
      </c>
      <c r="I193" s="621">
        <v>8</v>
      </c>
      <c r="J193" s="621">
        <v>9</v>
      </c>
      <c r="K193" s="621">
        <v>10</v>
      </c>
      <c r="L193" s="621">
        <v>11</v>
      </c>
      <c r="M193" s="621">
        <v>12</v>
      </c>
      <c r="N193" s="621">
        <v>13</v>
      </c>
      <c r="O193" s="621">
        <v>14</v>
      </c>
      <c r="P193" s="621">
        <v>15</v>
      </c>
      <c r="Q193" s="621">
        <v>13</v>
      </c>
      <c r="R193" s="622">
        <v>14</v>
      </c>
    </row>
    <row r="194" spans="1:18" ht="24" customHeight="1" x14ac:dyDescent="0.25">
      <c r="A194" s="897" t="str">
        <f>A176</f>
        <v>802112О.99.0.ББ11АЧ08001</v>
      </c>
      <c r="B194" s="846"/>
      <c r="C194" s="8"/>
      <c r="D194" s="8"/>
      <c r="E194" s="8"/>
      <c r="F194" s="8" t="s">
        <v>75</v>
      </c>
      <c r="G194" s="8"/>
      <c r="H194" s="10" t="s">
        <v>77</v>
      </c>
      <c r="I194" s="9" t="s">
        <v>78</v>
      </c>
      <c r="J194" s="8">
        <v>792</v>
      </c>
      <c r="K194" s="8">
        <f>'проверка 2020'!M4</f>
        <v>50</v>
      </c>
      <c r="L194" s="8">
        <f>'проверка 2021'!M4</f>
        <v>51</v>
      </c>
      <c r="M194" s="8">
        <f>'проверка 2022'!M4</f>
        <v>50</v>
      </c>
      <c r="N194" s="8"/>
      <c r="O194" s="8"/>
      <c r="P194" s="8"/>
      <c r="Q194" s="649">
        <v>0.05</v>
      </c>
      <c r="R194" s="1"/>
    </row>
    <row r="195" spans="1:18" ht="23.25" hidden="1" customHeight="1" x14ac:dyDescent="0.25">
      <c r="A195" s="897">
        <f>A177</f>
        <v>0</v>
      </c>
      <c r="B195" s="846"/>
      <c r="C195" s="8"/>
      <c r="D195" s="8"/>
      <c r="E195" s="8"/>
      <c r="F195" s="10" t="s">
        <v>76</v>
      </c>
      <c r="G195" s="8"/>
      <c r="H195" s="10" t="s">
        <v>77</v>
      </c>
      <c r="I195" s="9" t="s">
        <v>78</v>
      </c>
      <c r="J195" s="8">
        <v>792</v>
      </c>
      <c r="K195" s="8"/>
      <c r="L195" s="8"/>
      <c r="M195" s="8"/>
      <c r="N195" s="8"/>
      <c r="O195" s="9"/>
      <c r="P195" s="9"/>
      <c r="Q195" s="623"/>
      <c r="R195" s="1"/>
    </row>
    <row r="196" spans="1:18" ht="13.9" hidden="1" x14ac:dyDescent="0.25">
      <c r="A196" s="9"/>
      <c r="B196" s="9"/>
      <c r="C196" s="8"/>
      <c r="D196" s="8"/>
      <c r="E196" s="8"/>
      <c r="F196" s="8"/>
      <c r="G196" s="8"/>
      <c r="H196" s="9"/>
      <c r="I196" s="9"/>
      <c r="J196" s="8"/>
      <c r="K196" s="8"/>
      <c r="L196" s="8"/>
      <c r="M196" s="8"/>
      <c r="N196" s="8"/>
      <c r="O196" s="193"/>
      <c r="P196" s="194"/>
    </row>
    <row r="197" spans="1:18" ht="13.9" hidden="1" x14ac:dyDescent="0.25">
      <c r="A197" s="3"/>
      <c r="B197" s="3"/>
      <c r="C197" s="1"/>
      <c r="D197" s="1"/>
      <c r="E197" s="1"/>
      <c r="F197" s="1"/>
      <c r="G197" s="1"/>
      <c r="H197" s="3"/>
      <c r="I197" s="3"/>
      <c r="J197" s="1"/>
      <c r="K197" s="1"/>
      <c r="L197" s="1"/>
      <c r="M197" s="1"/>
      <c r="N197" s="1"/>
      <c r="O197" s="195"/>
      <c r="P197" s="196"/>
    </row>
    <row r="198" spans="1:18" ht="13.9" hidden="1" x14ac:dyDescent="0.25">
      <c r="A198" s="3"/>
      <c r="B198" s="3"/>
      <c r="C198" s="1"/>
      <c r="D198" s="1"/>
      <c r="E198" s="1"/>
      <c r="F198" s="1"/>
      <c r="G198" s="1"/>
      <c r="H198" s="3"/>
      <c r="I198" s="3"/>
      <c r="J198" s="1"/>
      <c r="K198" s="1"/>
      <c r="L198" s="1"/>
      <c r="M198" s="1"/>
      <c r="N198" s="1"/>
      <c r="O198" s="195"/>
      <c r="P198" s="196"/>
    </row>
    <row r="199" spans="1:18" ht="13.9" hidden="1" x14ac:dyDescent="0.25">
      <c r="A199" s="3"/>
      <c r="B199" s="3"/>
      <c r="C199" s="1"/>
      <c r="D199" s="1"/>
      <c r="E199" s="1"/>
      <c r="F199" s="1"/>
      <c r="G199" s="1"/>
      <c r="H199" s="3"/>
      <c r="I199" s="3"/>
      <c r="J199" s="1"/>
      <c r="K199" s="1"/>
      <c r="L199" s="1"/>
      <c r="M199" s="1"/>
      <c r="N199" s="1"/>
      <c r="O199" s="195"/>
      <c r="P199" s="196"/>
    </row>
    <row r="200" spans="1:18" ht="13.9" hidden="1" x14ac:dyDescent="0.25">
      <c r="A200" s="3"/>
      <c r="B200" s="3"/>
      <c r="C200" s="1"/>
      <c r="D200" s="1"/>
      <c r="E200" s="1"/>
      <c r="F200" s="1"/>
      <c r="G200" s="1"/>
      <c r="H200" s="3"/>
      <c r="I200" s="3"/>
      <c r="J200" s="1"/>
      <c r="K200" s="1"/>
      <c r="L200" s="1"/>
      <c r="M200" s="1"/>
      <c r="N200" s="1"/>
      <c r="O200" s="195"/>
      <c r="P200" s="196"/>
    </row>
    <row r="201" spans="1:18" ht="13.9" hidden="1" x14ac:dyDescent="0.25">
      <c r="A201" s="3"/>
      <c r="B201" s="3"/>
      <c r="C201" s="1"/>
      <c r="D201" s="1"/>
      <c r="E201" s="1"/>
      <c r="F201" s="1"/>
      <c r="G201" s="1"/>
      <c r="H201" s="3"/>
      <c r="I201" s="3"/>
      <c r="J201" s="1"/>
      <c r="K201" s="1"/>
      <c r="L201" s="1"/>
      <c r="M201" s="1"/>
      <c r="N201" s="1"/>
      <c r="O201" s="195"/>
      <c r="P201" s="196"/>
    </row>
    <row r="202" spans="1:18" ht="6" customHeight="1" x14ac:dyDescent="0.25"/>
    <row r="203" spans="1:18" s="6" customFormat="1" ht="13.9" hidden="1" x14ac:dyDescent="0.25"/>
    <row r="204" spans="1:18" s="6" customFormat="1" x14ac:dyDescent="0.25">
      <c r="C204" s="867"/>
      <c r="D204" s="867"/>
    </row>
    <row r="205" spans="1:18" ht="6" customHeight="1" x14ac:dyDescent="0.25">
      <c r="D205" s="619"/>
    </row>
    <row r="206" spans="1:18" x14ac:dyDescent="0.25">
      <c r="A206" s="4" t="s">
        <v>38</v>
      </c>
    </row>
    <row r="207" spans="1:18" ht="8.25" customHeight="1" x14ac:dyDescent="0.25"/>
    <row r="208" spans="1:18" x14ac:dyDescent="0.25">
      <c r="A208" s="822" t="s">
        <v>43</v>
      </c>
      <c r="B208" s="822"/>
      <c r="C208" s="822"/>
      <c r="D208" s="822"/>
      <c r="E208" s="822"/>
      <c r="F208" s="822"/>
      <c r="G208" s="822"/>
      <c r="H208" s="822"/>
      <c r="I208" s="822"/>
      <c r="J208" s="822"/>
      <c r="K208" s="822"/>
      <c r="L208" s="822"/>
      <c r="M208" s="822"/>
      <c r="N208" s="822"/>
      <c r="O208" s="822"/>
      <c r="P208" s="822"/>
    </row>
    <row r="209" spans="1:16" x14ac:dyDescent="0.25">
      <c r="A209" s="618" t="s">
        <v>39</v>
      </c>
      <c r="B209" s="822" t="s">
        <v>40</v>
      </c>
      <c r="C209" s="822"/>
      <c r="D209" s="822"/>
      <c r="E209" s="618" t="s">
        <v>41</v>
      </c>
      <c r="F209" s="618" t="s">
        <v>42</v>
      </c>
      <c r="G209" s="822" t="s">
        <v>25</v>
      </c>
      <c r="H209" s="822"/>
      <c r="I209" s="822"/>
      <c r="J209" s="822"/>
      <c r="K209" s="822"/>
      <c r="L209" s="822"/>
      <c r="M209" s="822"/>
      <c r="N209" s="822"/>
      <c r="O209" s="822"/>
      <c r="P209" s="822"/>
    </row>
    <row r="210" spans="1:16" s="198" customFormat="1" ht="7.5" x14ac:dyDescent="0.15">
      <c r="A210" s="622">
        <v>1</v>
      </c>
      <c r="B210" s="893">
        <v>2</v>
      </c>
      <c r="C210" s="893"/>
      <c r="D210" s="893"/>
      <c r="E210" s="622">
        <v>3</v>
      </c>
      <c r="F210" s="622">
        <v>4</v>
      </c>
      <c r="G210" s="893">
        <v>5</v>
      </c>
      <c r="H210" s="893"/>
      <c r="I210" s="893"/>
      <c r="J210" s="893"/>
      <c r="K210" s="893"/>
      <c r="L210" s="893"/>
      <c r="M210" s="893"/>
      <c r="N210" s="893"/>
      <c r="O210" s="893"/>
      <c r="P210" s="893"/>
    </row>
    <row r="211" spans="1:16" s="756" customFormat="1" ht="39.75" customHeight="1" x14ac:dyDescent="0.2">
      <c r="A211" s="734" t="s">
        <v>243</v>
      </c>
      <c r="B211" s="829" t="s">
        <v>244</v>
      </c>
      <c r="C211" s="830"/>
      <c r="D211" s="831"/>
      <c r="E211" s="755">
        <v>43306</v>
      </c>
      <c r="F211" s="734">
        <v>129</v>
      </c>
      <c r="G211" s="832" t="s">
        <v>558</v>
      </c>
      <c r="H211" s="833"/>
      <c r="I211" s="833"/>
      <c r="J211" s="833"/>
      <c r="K211" s="833"/>
      <c r="L211" s="833"/>
      <c r="M211" s="833"/>
      <c r="N211" s="833"/>
      <c r="O211" s="833"/>
      <c r="P211" s="834"/>
    </row>
    <row r="212" spans="1:16" s="188" customFormat="1" ht="33" customHeight="1" x14ac:dyDescent="0.2">
      <c r="A212" s="8" t="s">
        <v>456</v>
      </c>
      <c r="B212" s="894" t="s">
        <v>457</v>
      </c>
      <c r="C212" s="894"/>
      <c r="D212" s="894"/>
      <c r="E212" s="197">
        <v>43822</v>
      </c>
      <c r="F212" s="725" t="s">
        <v>573</v>
      </c>
      <c r="G212" s="895" t="s">
        <v>572</v>
      </c>
      <c r="H212" s="895"/>
      <c r="I212" s="895"/>
      <c r="J212" s="895"/>
      <c r="K212" s="895"/>
      <c r="L212" s="895"/>
      <c r="M212" s="895"/>
      <c r="N212" s="895"/>
      <c r="O212" s="895"/>
      <c r="P212" s="895"/>
    </row>
    <row r="213" spans="1:16" s="188" customFormat="1" ht="21.75" customHeight="1" x14ac:dyDescent="0.2">
      <c r="A213" s="8" t="s">
        <v>456</v>
      </c>
      <c r="B213" s="894" t="s">
        <v>457</v>
      </c>
      <c r="C213" s="894"/>
      <c r="D213" s="894"/>
      <c r="E213" s="197">
        <v>43600</v>
      </c>
      <c r="F213" s="730" t="s">
        <v>560</v>
      </c>
      <c r="G213" s="880" t="s">
        <v>559</v>
      </c>
      <c r="H213" s="896"/>
      <c r="I213" s="896"/>
      <c r="J213" s="896"/>
      <c r="K213" s="896"/>
      <c r="L213" s="896"/>
      <c r="M213" s="896"/>
      <c r="N213" s="896"/>
      <c r="O213" s="896"/>
      <c r="P213" s="881"/>
    </row>
    <row r="214" spans="1:16" s="188" customFormat="1" ht="12.75" hidden="1" customHeight="1" x14ac:dyDescent="0.2">
      <c r="A214" s="8"/>
      <c r="B214" s="827"/>
      <c r="C214" s="827"/>
      <c r="D214" s="827"/>
      <c r="E214" s="8"/>
      <c r="F214" s="8"/>
      <c r="G214" s="843"/>
      <c r="H214" s="843"/>
      <c r="I214" s="843"/>
      <c r="J214" s="843"/>
      <c r="K214" s="843"/>
      <c r="L214" s="843"/>
      <c r="M214" s="843"/>
      <c r="N214" s="843"/>
      <c r="O214" s="843"/>
      <c r="P214" s="843"/>
    </row>
    <row r="215" spans="1:16" ht="9.75" customHeight="1" x14ac:dyDescent="0.25"/>
    <row r="216" spans="1:16" x14ac:dyDescent="0.25">
      <c r="A216" s="4" t="s">
        <v>44</v>
      </c>
    </row>
    <row r="217" spans="1:16" ht="8.25" customHeight="1" x14ac:dyDescent="0.25"/>
    <row r="218" spans="1:16" x14ac:dyDescent="0.25">
      <c r="A218" s="4" t="s">
        <v>45</v>
      </c>
    </row>
    <row r="219" spans="1:16" ht="91.5" customHeight="1" x14ac:dyDescent="0.25">
      <c r="A219" s="860" t="s">
        <v>327</v>
      </c>
      <c r="B219" s="860"/>
      <c r="C219" s="860"/>
      <c r="D219" s="860"/>
      <c r="E219" s="860"/>
      <c r="F219" s="860"/>
      <c r="G219" s="860"/>
      <c r="H219" s="860"/>
      <c r="I219" s="860"/>
      <c r="J219" s="860"/>
      <c r="K219" s="860"/>
      <c r="L219" s="860"/>
      <c r="M219" s="860"/>
      <c r="N219" s="860"/>
      <c r="O219" s="860"/>
      <c r="P219" s="860"/>
    </row>
    <row r="220" spans="1:16" x14ac:dyDescent="0.25">
      <c r="A220" s="892" t="s">
        <v>46</v>
      </c>
      <c r="B220" s="892"/>
      <c r="C220" s="892"/>
      <c r="D220" s="892"/>
      <c r="E220" s="892"/>
      <c r="F220" s="892"/>
      <c r="G220" s="892"/>
      <c r="H220" s="892"/>
      <c r="I220" s="892"/>
      <c r="J220" s="892"/>
      <c r="K220" s="892"/>
      <c r="L220" s="892"/>
    </row>
    <row r="221" spans="1:16" ht="3.75" customHeight="1" x14ac:dyDescent="0.25"/>
    <row r="222" spans="1:16" x14ac:dyDescent="0.25">
      <c r="A222" s="4" t="s">
        <v>47</v>
      </c>
    </row>
    <row r="224" spans="1:16" x14ac:dyDescent="0.25">
      <c r="A224" s="822" t="s">
        <v>48</v>
      </c>
      <c r="B224" s="822"/>
      <c r="C224" s="822"/>
      <c r="D224" s="822" t="s">
        <v>49</v>
      </c>
      <c r="E224" s="822"/>
      <c r="F224" s="822"/>
      <c r="G224" s="822"/>
      <c r="H224" s="822" t="s">
        <v>50</v>
      </c>
      <c r="I224" s="822"/>
      <c r="J224" s="822"/>
      <c r="K224" s="822"/>
    </row>
    <row r="225" spans="1:17" s="198" customFormat="1" ht="7.5" x14ac:dyDescent="0.15">
      <c r="A225" s="893">
        <v>1</v>
      </c>
      <c r="B225" s="893"/>
      <c r="C225" s="893"/>
      <c r="D225" s="893">
        <v>2</v>
      </c>
      <c r="E225" s="893"/>
      <c r="F225" s="893"/>
      <c r="G225" s="893"/>
      <c r="H225" s="893">
        <v>3</v>
      </c>
      <c r="I225" s="893"/>
      <c r="J225" s="893"/>
      <c r="K225" s="893"/>
    </row>
    <row r="226" spans="1:17" ht="365.25" customHeight="1" x14ac:dyDescent="0.25">
      <c r="A226" s="889" t="s">
        <v>251</v>
      </c>
      <c r="B226" s="890"/>
      <c r="C226" s="891"/>
      <c r="D226" s="910" t="s">
        <v>322</v>
      </c>
      <c r="E226" s="911"/>
      <c r="F226" s="911"/>
      <c r="G226" s="912"/>
      <c r="H226" s="806" t="s">
        <v>323</v>
      </c>
      <c r="I226" s="807"/>
      <c r="J226" s="807"/>
      <c r="K226" s="808"/>
    </row>
    <row r="227" spans="1:17" ht="13.9" hidden="1" x14ac:dyDescent="0.25">
      <c r="A227" s="824"/>
      <c r="B227" s="825"/>
      <c r="C227" s="826"/>
      <c r="D227" s="824"/>
      <c r="E227" s="825"/>
      <c r="F227" s="825"/>
      <c r="G227" s="826"/>
      <c r="H227" s="824"/>
      <c r="I227" s="825"/>
      <c r="J227" s="825"/>
      <c r="K227" s="826"/>
    </row>
    <row r="228" spans="1:17" ht="36" hidden="1" customHeight="1" x14ac:dyDescent="0.25">
      <c r="A228" s="824"/>
      <c r="B228" s="825"/>
      <c r="C228" s="826"/>
      <c r="D228" s="824"/>
      <c r="E228" s="825"/>
      <c r="F228" s="825"/>
      <c r="G228" s="826"/>
      <c r="H228" s="824"/>
      <c r="I228" s="825"/>
      <c r="J228" s="825"/>
      <c r="K228" s="826"/>
    </row>
    <row r="229" spans="1:17" x14ac:dyDescent="0.25">
      <c r="A229" s="817" t="s">
        <v>249</v>
      </c>
      <c r="B229" s="817"/>
      <c r="C229" s="817"/>
      <c r="D229" s="817"/>
      <c r="E229" s="817"/>
      <c r="F229" s="817"/>
      <c r="G229" s="817"/>
      <c r="H229" s="817"/>
      <c r="I229" s="817"/>
      <c r="J229" s="817"/>
      <c r="K229" s="817"/>
      <c r="L229" s="817"/>
      <c r="M229" s="817"/>
      <c r="N229" s="817"/>
      <c r="O229" s="817"/>
      <c r="P229" s="817"/>
    </row>
    <row r="230" spans="1:17" ht="7.5" customHeight="1" x14ac:dyDescent="0.25"/>
    <row r="231" spans="1:17" x14ac:dyDescent="0.25">
      <c r="A231" s="4" t="s">
        <v>11</v>
      </c>
      <c r="E231" s="909" t="s">
        <v>237</v>
      </c>
      <c r="F231" s="909"/>
      <c r="G231" s="909"/>
      <c r="H231" s="909"/>
      <c r="I231" s="909"/>
      <c r="J231" s="909"/>
      <c r="K231" s="909"/>
      <c r="L231" s="909"/>
      <c r="M231" s="854" t="s">
        <v>314</v>
      </c>
      <c r="N231" s="855"/>
      <c r="O231" s="822" t="s">
        <v>537</v>
      </c>
      <c r="P231" s="822"/>
    </row>
    <row r="232" spans="1:17" ht="22.15" customHeight="1" x14ac:dyDescent="0.25">
      <c r="A232" s="886" t="s">
        <v>72</v>
      </c>
      <c r="B232" s="886"/>
      <c r="C232" s="886"/>
      <c r="D232" s="886"/>
      <c r="E232" s="886"/>
      <c r="F232" s="886"/>
      <c r="G232" s="886"/>
      <c r="H232" s="886"/>
      <c r="I232" s="886"/>
      <c r="J232" s="886"/>
      <c r="K232" s="886"/>
      <c r="L232" s="886"/>
      <c r="M232" s="854"/>
      <c r="N232" s="855"/>
      <c r="O232" s="822"/>
      <c r="P232" s="822"/>
    </row>
    <row r="233" spans="1:17" x14ac:dyDescent="0.25">
      <c r="A233" s="4" t="s">
        <v>12</v>
      </c>
      <c r="M233" s="854"/>
      <c r="N233" s="855"/>
      <c r="O233" s="822"/>
      <c r="P233" s="822"/>
    </row>
    <row r="234" spans="1:17" x14ac:dyDescent="0.25">
      <c r="A234" s="886" t="s">
        <v>85</v>
      </c>
      <c r="B234" s="886"/>
      <c r="C234" s="886"/>
      <c r="D234" s="886"/>
      <c r="E234" s="886"/>
      <c r="F234" s="886"/>
      <c r="G234" s="886"/>
      <c r="H234" s="886"/>
      <c r="I234" s="886"/>
      <c r="J234" s="886"/>
      <c r="K234" s="886"/>
      <c r="L234" s="886"/>
      <c r="M234" s="886"/>
      <c r="N234" s="886"/>
    </row>
    <row r="235" spans="1:17" ht="4.5" customHeight="1" x14ac:dyDescent="0.25">
      <c r="A235" s="619"/>
      <c r="B235" s="619"/>
      <c r="C235" s="619"/>
      <c r="D235" s="619"/>
      <c r="E235" s="619"/>
      <c r="F235" s="619"/>
      <c r="G235" s="619"/>
      <c r="H235" s="619"/>
      <c r="I235" s="619"/>
      <c r="J235" s="619"/>
      <c r="K235" s="619"/>
      <c r="L235" s="619"/>
      <c r="M235" s="619"/>
      <c r="N235" s="619"/>
    </row>
    <row r="236" spans="1:17" x14ac:dyDescent="0.25">
      <c r="A236" s="4" t="s">
        <v>13</v>
      </c>
    </row>
    <row r="237" spans="1:17" ht="5.25" customHeight="1" x14ac:dyDescent="0.25"/>
    <row r="238" spans="1:17" x14ac:dyDescent="0.25">
      <c r="A238" s="4" t="s">
        <v>16</v>
      </c>
    </row>
    <row r="239" spans="1:17" ht="7.5" customHeight="1" x14ac:dyDescent="0.25"/>
    <row r="240" spans="1:17" ht="34.5" customHeight="1" x14ac:dyDescent="0.25">
      <c r="A240" s="812" t="s">
        <v>17</v>
      </c>
      <c r="B240" s="812"/>
      <c r="C240" s="837" t="s">
        <v>18</v>
      </c>
      <c r="D240" s="838"/>
      <c r="E240" s="839"/>
      <c r="F240" s="875" t="s">
        <v>20</v>
      </c>
      <c r="G240" s="875"/>
      <c r="H240" s="812" t="s">
        <v>21</v>
      </c>
      <c r="I240" s="812"/>
      <c r="J240" s="812"/>
      <c r="K240" s="812"/>
      <c r="L240" s="812"/>
      <c r="M240" s="837" t="s">
        <v>22</v>
      </c>
      <c r="N240" s="838"/>
      <c r="O240" s="839"/>
      <c r="P240" s="812" t="s">
        <v>315</v>
      </c>
      <c r="Q240" s="812"/>
    </row>
    <row r="241" spans="1:17" s="188" customFormat="1" ht="24.75" customHeight="1" x14ac:dyDescent="0.2">
      <c r="A241" s="812"/>
      <c r="B241" s="812"/>
      <c r="C241" s="898" t="s">
        <v>19</v>
      </c>
      <c r="D241" s="898" t="s">
        <v>19</v>
      </c>
      <c r="E241" s="898" t="s">
        <v>19</v>
      </c>
      <c r="F241" s="898" t="s">
        <v>19</v>
      </c>
      <c r="G241" s="898" t="s">
        <v>19</v>
      </c>
      <c r="H241" s="812" t="s">
        <v>26</v>
      </c>
      <c r="I241" s="812"/>
      <c r="J241" s="812" t="s">
        <v>23</v>
      </c>
      <c r="K241" s="812"/>
      <c r="L241" s="812"/>
      <c r="M241" s="800" t="s">
        <v>561</v>
      </c>
      <c r="N241" s="800" t="s">
        <v>562</v>
      </c>
      <c r="O241" s="800" t="s">
        <v>563</v>
      </c>
      <c r="P241" s="813" t="s">
        <v>316</v>
      </c>
      <c r="Q241" s="814" t="s">
        <v>317</v>
      </c>
    </row>
    <row r="242" spans="1:17" s="188" customFormat="1" ht="16.5" customHeight="1" x14ac:dyDescent="0.2">
      <c r="A242" s="812"/>
      <c r="B242" s="812"/>
      <c r="C242" s="898"/>
      <c r="D242" s="898"/>
      <c r="E242" s="898"/>
      <c r="F242" s="898"/>
      <c r="G242" s="898"/>
      <c r="H242" s="812"/>
      <c r="I242" s="812"/>
      <c r="J242" s="882" t="s">
        <v>25</v>
      </c>
      <c r="K242" s="883"/>
      <c r="L242" s="7" t="s">
        <v>24</v>
      </c>
      <c r="M242" s="801"/>
      <c r="N242" s="801"/>
      <c r="O242" s="801"/>
      <c r="P242" s="813"/>
      <c r="Q242" s="815"/>
    </row>
    <row r="243" spans="1:17" s="198" customFormat="1" ht="11.25" customHeight="1" x14ac:dyDescent="0.15">
      <c r="A243" s="876">
        <v>1</v>
      </c>
      <c r="B243" s="876"/>
      <c r="C243" s="621">
        <v>2</v>
      </c>
      <c r="D243" s="621">
        <v>3</v>
      </c>
      <c r="E243" s="621">
        <v>4</v>
      </c>
      <c r="F243" s="621">
        <v>5</v>
      </c>
      <c r="G243" s="621">
        <v>6</v>
      </c>
      <c r="H243" s="876">
        <v>7</v>
      </c>
      <c r="I243" s="876"/>
      <c r="J243" s="877">
        <v>8</v>
      </c>
      <c r="K243" s="878"/>
      <c r="L243" s="621">
        <v>9</v>
      </c>
      <c r="M243" s="621">
        <v>10</v>
      </c>
      <c r="N243" s="621">
        <v>11</v>
      </c>
      <c r="O243" s="621">
        <v>12</v>
      </c>
      <c r="P243" s="621">
        <v>13</v>
      </c>
      <c r="Q243" s="622">
        <v>14</v>
      </c>
    </row>
    <row r="244" spans="1:17" ht="30" customHeight="1" x14ac:dyDescent="0.25">
      <c r="A244" s="845" t="s">
        <v>538</v>
      </c>
      <c r="B244" s="846"/>
      <c r="C244" s="8"/>
      <c r="D244" s="8"/>
      <c r="E244" s="8"/>
      <c r="F244" s="8" t="s">
        <v>75</v>
      </c>
      <c r="G244" s="8"/>
      <c r="H244" s="905" t="s">
        <v>81</v>
      </c>
      <c r="I244" s="906"/>
      <c r="J244" s="907" t="s">
        <v>82</v>
      </c>
      <c r="K244" s="908"/>
      <c r="L244" s="189">
        <v>744</v>
      </c>
      <c r="M244" s="190" t="s">
        <v>242</v>
      </c>
      <c r="N244" s="190" t="s">
        <v>242</v>
      </c>
      <c r="O244" s="190" t="s">
        <v>242</v>
      </c>
      <c r="P244" s="623"/>
      <c r="Q244" s="1"/>
    </row>
    <row r="245" spans="1:17" ht="32.25" hidden="1" customHeight="1" x14ac:dyDescent="0.3">
      <c r="A245" s="845"/>
      <c r="B245" s="846"/>
      <c r="C245" s="8"/>
      <c r="D245" s="8"/>
      <c r="E245" s="8"/>
      <c r="F245" s="10" t="s">
        <v>76</v>
      </c>
      <c r="G245" s="8"/>
      <c r="H245" s="905" t="s">
        <v>81</v>
      </c>
      <c r="I245" s="906"/>
      <c r="J245" s="907" t="s">
        <v>82</v>
      </c>
      <c r="K245" s="908"/>
      <c r="L245" s="189">
        <v>744</v>
      </c>
      <c r="M245" s="190" t="s">
        <v>242</v>
      </c>
      <c r="N245" s="190" t="s">
        <v>242</v>
      </c>
      <c r="O245" s="190" t="s">
        <v>242</v>
      </c>
      <c r="P245" s="623"/>
      <c r="Q245" s="1"/>
    </row>
    <row r="246" spans="1:17" ht="13.9" hidden="1" x14ac:dyDescent="0.25">
      <c r="A246" s="824"/>
      <c r="B246" s="826"/>
      <c r="C246" s="1"/>
      <c r="D246" s="1"/>
      <c r="E246" s="1"/>
      <c r="F246" s="1"/>
      <c r="G246" s="1"/>
      <c r="H246" s="824"/>
      <c r="I246" s="826"/>
      <c r="J246" s="824"/>
      <c r="K246" s="826"/>
      <c r="L246" s="1"/>
      <c r="M246" s="1"/>
      <c r="N246" s="1"/>
      <c r="O246" s="824"/>
      <c r="P246" s="826"/>
    </row>
    <row r="247" spans="1:17" ht="13.9" hidden="1" x14ac:dyDescent="0.25">
      <c r="A247" s="824"/>
      <c r="B247" s="826"/>
      <c r="C247" s="1"/>
      <c r="D247" s="1"/>
      <c r="E247" s="1"/>
      <c r="F247" s="1"/>
      <c r="G247" s="1"/>
      <c r="H247" s="824"/>
      <c r="I247" s="826"/>
      <c r="J247" s="824"/>
      <c r="K247" s="826"/>
      <c r="L247" s="1"/>
      <c r="M247" s="1"/>
      <c r="N247" s="1"/>
      <c r="O247" s="824"/>
      <c r="P247" s="826"/>
    </row>
    <row r="248" spans="1:17" ht="13.9" hidden="1" x14ac:dyDescent="0.25">
      <c r="A248" s="824"/>
      <c r="B248" s="826"/>
      <c r="C248" s="1"/>
      <c r="D248" s="1"/>
      <c r="E248" s="1"/>
      <c r="F248" s="1"/>
      <c r="G248" s="1"/>
      <c r="H248" s="824"/>
      <c r="I248" s="826"/>
      <c r="J248" s="824"/>
      <c r="K248" s="826"/>
      <c r="L248" s="1"/>
      <c r="M248" s="1"/>
      <c r="N248" s="1"/>
      <c r="O248" s="824"/>
      <c r="P248" s="826"/>
    </row>
    <row r="249" spans="1:17" ht="13.9" hidden="1" x14ac:dyDescent="0.25">
      <c r="A249" s="824"/>
      <c r="B249" s="826"/>
      <c r="C249" s="1"/>
      <c r="D249" s="1"/>
      <c r="E249" s="1"/>
      <c r="F249" s="1"/>
      <c r="G249" s="1"/>
      <c r="H249" s="824"/>
      <c r="I249" s="826"/>
      <c r="J249" s="824"/>
      <c r="K249" s="826"/>
      <c r="L249" s="1"/>
      <c r="M249" s="1"/>
      <c r="N249" s="1"/>
      <c r="O249" s="824"/>
      <c r="P249" s="826"/>
    </row>
    <row r="250" spans="1:17" ht="13.9" hidden="1" x14ac:dyDescent="0.25">
      <c r="A250" s="824"/>
      <c r="B250" s="826"/>
      <c r="C250" s="1"/>
      <c r="D250" s="1"/>
      <c r="E250" s="1"/>
      <c r="F250" s="1"/>
      <c r="G250" s="1"/>
      <c r="H250" s="824"/>
      <c r="I250" s="826"/>
      <c r="J250" s="824"/>
      <c r="K250" s="826"/>
      <c r="L250" s="1"/>
      <c r="M250" s="1"/>
      <c r="N250" s="1"/>
      <c r="O250" s="824"/>
      <c r="P250" s="826"/>
    </row>
    <row r="251" spans="1:17" ht="13.9" hidden="1" x14ac:dyDescent="0.25">
      <c r="A251" s="824"/>
      <c r="B251" s="826"/>
      <c r="C251" s="1"/>
      <c r="D251" s="1"/>
      <c r="E251" s="1"/>
      <c r="F251" s="1"/>
      <c r="G251" s="1"/>
      <c r="H251" s="824"/>
      <c r="I251" s="826"/>
      <c r="J251" s="824"/>
      <c r="K251" s="826"/>
      <c r="L251" s="1"/>
      <c r="M251" s="1"/>
      <c r="N251" s="1"/>
      <c r="O251" s="824"/>
      <c r="P251" s="826"/>
    </row>
    <row r="252" spans="1:17" ht="7.5" customHeight="1" x14ac:dyDescent="0.25"/>
    <row r="253" spans="1:17" x14ac:dyDescent="0.25">
      <c r="A253" s="4" t="s">
        <v>27</v>
      </c>
    </row>
    <row r="254" spans="1:17" x14ac:dyDescent="0.25">
      <c r="A254" s="4" t="s">
        <v>28</v>
      </c>
      <c r="C254" s="822"/>
      <c r="D254" s="822"/>
    </row>
    <row r="255" spans="1:17" ht="3.75" customHeight="1" x14ac:dyDescent="0.25">
      <c r="D255" s="192"/>
    </row>
    <row r="256" spans="1:17" x14ac:dyDescent="0.25">
      <c r="A256" s="4" t="s">
        <v>37</v>
      </c>
    </row>
    <row r="257" spans="1:21" ht="5.25" customHeight="1" x14ac:dyDescent="0.25"/>
    <row r="258" spans="1:21" ht="45.75" customHeight="1" x14ac:dyDescent="0.25">
      <c r="A258" s="899" t="s">
        <v>17</v>
      </c>
      <c r="B258" s="900"/>
      <c r="C258" s="837" t="s">
        <v>18</v>
      </c>
      <c r="D258" s="838"/>
      <c r="E258" s="839"/>
      <c r="F258" s="875" t="s">
        <v>20</v>
      </c>
      <c r="G258" s="875"/>
      <c r="H258" s="812" t="s">
        <v>29</v>
      </c>
      <c r="I258" s="812"/>
      <c r="J258" s="812"/>
      <c r="K258" s="812" t="s">
        <v>30</v>
      </c>
      <c r="L258" s="812"/>
      <c r="M258" s="812"/>
      <c r="N258" s="838" t="s">
        <v>31</v>
      </c>
      <c r="O258" s="838"/>
      <c r="P258" s="839"/>
      <c r="Q258" s="812" t="s">
        <v>459</v>
      </c>
      <c r="R258" s="812"/>
    </row>
    <row r="259" spans="1:21" ht="42" customHeight="1" x14ac:dyDescent="0.25">
      <c r="A259" s="901"/>
      <c r="B259" s="902"/>
      <c r="C259" s="898" t="s">
        <v>19</v>
      </c>
      <c r="D259" s="898" t="s">
        <v>19</v>
      </c>
      <c r="E259" s="898" t="s">
        <v>19</v>
      </c>
      <c r="F259" s="898" t="s">
        <v>19</v>
      </c>
      <c r="G259" s="898" t="s">
        <v>19</v>
      </c>
      <c r="H259" s="812" t="s">
        <v>26</v>
      </c>
      <c r="I259" s="812" t="s">
        <v>23</v>
      </c>
      <c r="J259" s="812"/>
      <c r="K259" s="800" t="s">
        <v>561</v>
      </c>
      <c r="L259" s="800" t="s">
        <v>562</v>
      </c>
      <c r="M259" s="800" t="s">
        <v>563</v>
      </c>
      <c r="N259" s="800" t="s">
        <v>561</v>
      </c>
      <c r="O259" s="800" t="s">
        <v>562</v>
      </c>
      <c r="P259" s="800" t="s">
        <v>563</v>
      </c>
      <c r="Q259" s="813" t="s">
        <v>316</v>
      </c>
      <c r="R259" s="814" t="s">
        <v>317</v>
      </c>
      <c r="U259" s="4" t="s">
        <v>97</v>
      </c>
    </row>
    <row r="260" spans="1:21" ht="13.5" customHeight="1" x14ac:dyDescent="0.25">
      <c r="A260" s="903"/>
      <c r="B260" s="904"/>
      <c r="C260" s="898"/>
      <c r="D260" s="898"/>
      <c r="E260" s="898"/>
      <c r="F260" s="898"/>
      <c r="G260" s="898"/>
      <c r="H260" s="812"/>
      <c r="I260" s="614" t="s">
        <v>33</v>
      </c>
      <c r="J260" s="7" t="s">
        <v>24</v>
      </c>
      <c r="K260" s="801"/>
      <c r="L260" s="801"/>
      <c r="M260" s="801"/>
      <c r="N260" s="801"/>
      <c r="O260" s="801"/>
      <c r="P260" s="801"/>
      <c r="Q260" s="813"/>
      <c r="R260" s="815"/>
    </row>
    <row r="261" spans="1:21" s="198" customFormat="1" ht="7.5" x14ac:dyDescent="0.15">
      <c r="A261" s="863">
        <v>1</v>
      </c>
      <c r="B261" s="864"/>
      <c r="C261" s="621">
        <v>2</v>
      </c>
      <c r="D261" s="621">
        <v>3</v>
      </c>
      <c r="E261" s="621">
        <v>4</v>
      </c>
      <c r="F261" s="621">
        <v>5</v>
      </c>
      <c r="G261" s="621">
        <v>6</v>
      </c>
      <c r="H261" s="621">
        <v>7</v>
      </c>
      <c r="I261" s="621">
        <v>8</v>
      </c>
      <c r="J261" s="621">
        <v>9</v>
      </c>
      <c r="K261" s="621">
        <v>10</v>
      </c>
      <c r="L261" s="621">
        <v>11</v>
      </c>
      <c r="M261" s="621">
        <v>12</v>
      </c>
      <c r="N261" s="621">
        <v>13</v>
      </c>
      <c r="O261" s="621">
        <v>14</v>
      </c>
      <c r="P261" s="621">
        <v>15</v>
      </c>
      <c r="Q261" s="621">
        <v>13</v>
      </c>
      <c r="R261" s="622">
        <v>14</v>
      </c>
    </row>
    <row r="262" spans="1:21" ht="27.75" customHeight="1" x14ac:dyDescent="0.25">
      <c r="A262" s="897" t="str">
        <f>A244</f>
        <v>801012О.99.0.БА82АА00001</v>
      </c>
      <c r="B262" s="846"/>
      <c r="C262" s="8"/>
      <c r="D262" s="8"/>
      <c r="E262" s="8"/>
      <c r="F262" s="8" t="s">
        <v>75</v>
      </c>
      <c r="G262" s="8"/>
      <c r="H262" s="10" t="s">
        <v>77</v>
      </c>
      <c r="I262" s="9" t="s">
        <v>78</v>
      </c>
      <c r="J262" s="8">
        <v>792</v>
      </c>
      <c r="K262" s="8">
        <f>'проверка 2020'!J4</f>
        <v>2</v>
      </c>
      <c r="L262" s="8">
        <f>'проверка 2021'!J4</f>
        <v>2</v>
      </c>
      <c r="M262" s="8">
        <f>'проверка 2022'!J4</f>
        <v>1</v>
      </c>
      <c r="N262" s="8"/>
      <c r="O262" s="8"/>
      <c r="P262" s="8"/>
      <c r="Q262" s="649">
        <v>0.05</v>
      </c>
      <c r="R262" s="1"/>
    </row>
    <row r="263" spans="1:21" ht="21" hidden="1" x14ac:dyDescent="0.25">
      <c r="A263" s="897">
        <f>A245</f>
        <v>0</v>
      </c>
      <c r="B263" s="846"/>
      <c r="C263" s="8"/>
      <c r="D263" s="8"/>
      <c r="E263" s="8"/>
      <c r="F263" s="10" t="s">
        <v>76</v>
      </c>
      <c r="G263" s="8"/>
      <c r="H263" s="10" t="s">
        <v>77</v>
      </c>
      <c r="I263" s="9" t="s">
        <v>78</v>
      </c>
      <c r="J263" s="8">
        <v>792</v>
      </c>
      <c r="K263" s="8"/>
      <c r="L263" s="8"/>
      <c r="M263" s="8"/>
      <c r="N263" s="8"/>
      <c r="O263" s="9"/>
      <c r="P263" s="9"/>
      <c r="Q263" s="623"/>
      <c r="R263" s="1"/>
    </row>
    <row r="264" spans="1:21" ht="13.9" hidden="1" x14ac:dyDescent="0.25">
      <c r="A264" s="9"/>
      <c r="B264" s="9"/>
      <c r="C264" s="8"/>
      <c r="D264" s="8"/>
      <c r="E264" s="8"/>
      <c r="F264" s="8"/>
      <c r="G264" s="8"/>
      <c r="H264" s="9"/>
      <c r="I264" s="9"/>
      <c r="J264" s="8"/>
      <c r="K264" s="8"/>
      <c r="L264" s="8"/>
      <c r="M264" s="8"/>
      <c r="N264" s="8"/>
      <c r="O264" s="193"/>
      <c r="P264" s="194"/>
    </row>
    <row r="265" spans="1:21" ht="13.9" hidden="1" x14ac:dyDescent="0.25">
      <c r="A265" s="3"/>
      <c r="B265" s="3"/>
      <c r="C265" s="1"/>
      <c r="D265" s="1"/>
      <c r="E265" s="1"/>
      <c r="F265" s="1"/>
      <c r="G265" s="1"/>
      <c r="H265" s="3"/>
      <c r="I265" s="3"/>
      <c r="J265" s="1"/>
      <c r="K265" s="1"/>
      <c r="L265" s="1"/>
      <c r="M265" s="1"/>
      <c r="N265" s="1"/>
      <c r="O265" s="195"/>
      <c r="P265" s="196"/>
    </row>
    <row r="266" spans="1:21" ht="13.9" hidden="1" x14ac:dyDescent="0.25">
      <c r="A266" s="3"/>
      <c r="B266" s="3"/>
      <c r="C266" s="1"/>
      <c r="D266" s="1"/>
      <c r="E266" s="1"/>
      <c r="F266" s="1"/>
      <c r="G266" s="1"/>
      <c r="H266" s="3"/>
      <c r="I266" s="3"/>
      <c r="J266" s="1"/>
      <c r="K266" s="1"/>
      <c r="L266" s="1"/>
      <c r="M266" s="1"/>
      <c r="N266" s="1"/>
      <c r="O266" s="195"/>
      <c r="P266" s="196"/>
    </row>
    <row r="267" spans="1:21" ht="13.9" hidden="1" x14ac:dyDescent="0.25">
      <c r="A267" s="3"/>
      <c r="B267" s="3"/>
      <c r="C267" s="1"/>
      <c r="D267" s="1"/>
      <c r="E267" s="1"/>
      <c r="F267" s="1"/>
      <c r="G267" s="1"/>
      <c r="H267" s="3"/>
      <c r="I267" s="3"/>
      <c r="J267" s="1"/>
      <c r="K267" s="1"/>
      <c r="L267" s="1"/>
      <c r="M267" s="1"/>
      <c r="N267" s="1"/>
      <c r="O267" s="195"/>
      <c r="P267" s="196"/>
    </row>
    <row r="268" spans="1:21" ht="13.9" hidden="1" x14ac:dyDescent="0.25">
      <c r="A268" s="3"/>
      <c r="B268" s="3"/>
      <c r="C268" s="1"/>
      <c r="D268" s="1"/>
      <c r="E268" s="1"/>
      <c r="F268" s="1"/>
      <c r="G268" s="1"/>
      <c r="H268" s="3"/>
      <c r="I268" s="3"/>
      <c r="J268" s="1"/>
      <c r="K268" s="1"/>
      <c r="L268" s="1"/>
      <c r="M268" s="1"/>
      <c r="N268" s="1"/>
      <c r="O268" s="195"/>
      <c r="P268" s="196"/>
    </row>
    <row r="269" spans="1:21" ht="13.9" hidden="1" x14ac:dyDescent="0.25">
      <c r="A269" s="3"/>
      <c r="B269" s="3"/>
      <c r="C269" s="1"/>
      <c r="D269" s="1"/>
      <c r="E269" s="1"/>
      <c r="F269" s="1"/>
      <c r="G269" s="1"/>
      <c r="H269" s="3"/>
      <c r="I269" s="3"/>
      <c r="J269" s="1"/>
      <c r="K269" s="1"/>
      <c r="L269" s="1"/>
      <c r="M269" s="1"/>
      <c r="N269" s="1"/>
      <c r="O269" s="195"/>
      <c r="P269" s="196"/>
    </row>
    <row r="270" spans="1:21" ht="6" customHeight="1" x14ac:dyDescent="0.25"/>
    <row r="271" spans="1:21" x14ac:dyDescent="0.25">
      <c r="A271" s="4" t="s">
        <v>32</v>
      </c>
    </row>
    <row r="272" spans="1:21" x14ac:dyDescent="0.25">
      <c r="A272" s="4" t="s">
        <v>28</v>
      </c>
      <c r="C272" s="822"/>
      <c r="D272" s="822"/>
    </row>
    <row r="273" spans="1:16" ht="6" customHeight="1" x14ac:dyDescent="0.25">
      <c r="D273" s="192"/>
    </row>
    <row r="274" spans="1:16" x14ac:dyDescent="0.25">
      <c r="A274" s="4" t="s">
        <v>38</v>
      </c>
    </row>
    <row r="275" spans="1:16" ht="8.25" customHeight="1" x14ac:dyDescent="0.25"/>
    <row r="276" spans="1:16" x14ac:dyDescent="0.25">
      <c r="A276" s="822" t="s">
        <v>43</v>
      </c>
      <c r="B276" s="822"/>
      <c r="C276" s="822"/>
      <c r="D276" s="822"/>
      <c r="E276" s="822"/>
      <c r="F276" s="822"/>
      <c r="G276" s="822"/>
      <c r="H276" s="822"/>
      <c r="I276" s="822"/>
      <c r="J276" s="822"/>
      <c r="K276" s="822"/>
      <c r="L276" s="822"/>
      <c r="M276" s="822"/>
      <c r="N276" s="822"/>
      <c r="O276" s="822"/>
      <c r="P276" s="822"/>
    </row>
    <row r="277" spans="1:16" x14ac:dyDescent="0.25">
      <c r="A277" s="618" t="s">
        <v>39</v>
      </c>
      <c r="B277" s="822" t="s">
        <v>40</v>
      </c>
      <c r="C277" s="822"/>
      <c r="D277" s="822"/>
      <c r="E277" s="618" t="s">
        <v>41</v>
      </c>
      <c r="F277" s="618" t="s">
        <v>42</v>
      </c>
      <c r="G277" s="822" t="s">
        <v>25</v>
      </c>
      <c r="H277" s="822"/>
      <c r="I277" s="822"/>
      <c r="J277" s="822"/>
      <c r="K277" s="822"/>
      <c r="L277" s="822"/>
      <c r="M277" s="822"/>
      <c r="N277" s="822"/>
      <c r="O277" s="822"/>
      <c r="P277" s="822"/>
    </row>
    <row r="278" spans="1:16" s="198" customFormat="1" ht="7.5" x14ac:dyDescent="0.15">
      <c r="A278" s="622">
        <v>1</v>
      </c>
      <c r="B278" s="893">
        <v>2</v>
      </c>
      <c r="C278" s="893"/>
      <c r="D278" s="893"/>
      <c r="E278" s="622">
        <v>3</v>
      </c>
      <c r="F278" s="622">
        <v>4</v>
      </c>
      <c r="G278" s="893">
        <v>5</v>
      </c>
      <c r="H278" s="893"/>
      <c r="I278" s="893"/>
      <c r="J278" s="893"/>
      <c r="K278" s="893"/>
      <c r="L278" s="893"/>
      <c r="M278" s="893"/>
      <c r="N278" s="893"/>
      <c r="O278" s="893"/>
      <c r="P278" s="893"/>
    </row>
    <row r="279" spans="1:16" s="756" customFormat="1" ht="33" customHeight="1" x14ac:dyDescent="0.2">
      <c r="A279" s="734" t="s">
        <v>243</v>
      </c>
      <c r="B279" s="829" t="s">
        <v>244</v>
      </c>
      <c r="C279" s="830"/>
      <c r="D279" s="831"/>
      <c r="E279" s="755">
        <v>43306</v>
      </c>
      <c r="F279" s="734">
        <v>129</v>
      </c>
      <c r="G279" s="832" t="s">
        <v>558</v>
      </c>
      <c r="H279" s="833"/>
      <c r="I279" s="833"/>
      <c r="J279" s="833"/>
      <c r="K279" s="833"/>
      <c r="L279" s="833"/>
      <c r="M279" s="833"/>
      <c r="N279" s="833"/>
      <c r="O279" s="833"/>
      <c r="P279" s="834"/>
    </row>
    <row r="280" spans="1:16" s="188" customFormat="1" ht="35.25" customHeight="1" x14ac:dyDescent="0.2">
      <c r="A280" s="8" t="s">
        <v>456</v>
      </c>
      <c r="B280" s="894" t="s">
        <v>457</v>
      </c>
      <c r="C280" s="894"/>
      <c r="D280" s="894"/>
      <c r="E280" s="197">
        <v>43822</v>
      </c>
      <c r="F280" s="725" t="s">
        <v>573</v>
      </c>
      <c r="G280" s="895" t="s">
        <v>572</v>
      </c>
      <c r="H280" s="895"/>
      <c r="I280" s="895"/>
      <c r="J280" s="895"/>
      <c r="K280" s="895"/>
      <c r="L280" s="895"/>
      <c r="M280" s="895"/>
      <c r="N280" s="895"/>
      <c r="O280" s="895"/>
      <c r="P280" s="895"/>
    </row>
    <row r="281" spans="1:16" s="188" customFormat="1" ht="35.25" customHeight="1" x14ac:dyDescent="0.2">
      <c r="A281" s="8" t="s">
        <v>456</v>
      </c>
      <c r="B281" s="894" t="s">
        <v>457</v>
      </c>
      <c r="C281" s="894"/>
      <c r="D281" s="894"/>
      <c r="E281" s="197">
        <v>43600</v>
      </c>
      <c r="F281" s="730" t="s">
        <v>560</v>
      </c>
      <c r="G281" s="880" t="s">
        <v>559</v>
      </c>
      <c r="H281" s="896"/>
      <c r="I281" s="896"/>
      <c r="J281" s="896"/>
      <c r="K281" s="896"/>
      <c r="L281" s="896"/>
      <c r="M281" s="896"/>
      <c r="N281" s="896"/>
      <c r="O281" s="896"/>
      <c r="P281" s="881"/>
    </row>
    <row r="282" spans="1:16" s="188" customFormat="1" ht="10.15" hidden="1" x14ac:dyDescent="0.2">
      <c r="A282" s="8"/>
      <c r="B282" s="827"/>
      <c r="C282" s="827"/>
      <c r="D282" s="827"/>
      <c r="E282" s="8"/>
      <c r="F282" s="8"/>
      <c r="G282" s="843"/>
      <c r="H282" s="843"/>
      <c r="I282" s="843"/>
      <c r="J282" s="843"/>
      <c r="K282" s="843"/>
      <c r="L282" s="843"/>
      <c r="M282" s="843"/>
      <c r="N282" s="843"/>
      <c r="O282" s="843"/>
      <c r="P282" s="843"/>
    </row>
    <row r="283" spans="1:16" ht="5.25" customHeight="1" x14ac:dyDescent="0.25"/>
    <row r="284" spans="1:16" x14ac:dyDescent="0.25">
      <c r="A284" s="4" t="s">
        <v>44</v>
      </c>
    </row>
    <row r="285" spans="1:16" ht="3" customHeight="1" x14ac:dyDescent="0.25"/>
    <row r="286" spans="1:16" x14ac:dyDescent="0.25">
      <c r="A286" s="4" t="s">
        <v>45</v>
      </c>
    </row>
    <row r="287" spans="1:16" ht="98.25" customHeight="1" x14ac:dyDescent="0.25">
      <c r="A287" s="860" t="s">
        <v>327</v>
      </c>
      <c r="B287" s="860"/>
      <c r="C287" s="860"/>
      <c r="D287" s="860"/>
      <c r="E287" s="860"/>
      <c r="F287" s="860"/>
      <c r="G287" s="860"/>
      <c r="H287" s="860"/>
      <c r="I287" s="860"/>
      <c r="J287" s="860"/>
      <c r="K287" s="860"/>
      <c r="L287" s="860"/>
      <c r="M287" s="860"/>
      <c r="N287" s="860"/>
      <c r="O287" s="860"/>
      <c r="P287" s="860"/>
    </row>
    <row r="288" spans="1:16" x14ac:dyDescent="0.25">
      <c r="A288" s="892" t="s">
        <v>46</v>
      </c>
      <c r="B288" s="892"/>
      <c r="C288" s="892"/>
      <c r="D288" s="892"/>
      <c r="E288" s="892"/>
      <c r="F288" s="892"/>
      <c r="G288" s="892"/>
      <c r="H288" s="892"/>
      <c r="I288" s="892"/>
      <c r="J288" s="892"/>
      <c r="K288" s="892"/>
      <c r="L288" s="892"/>
    </row>
    <row r="289" spans="1:16" ht="3.75" customHeight="1" x14ac:dyDescent="0.25"/>
    <row r="290" spans="1:16" x14ac:dyDescent="0.25">
      <c r="A290" s="4" t="s">
        <v>47</v>
      </c>
    </row>
    <row r="292" spans="1:16" ht="10.5" customHeight="1" x14ac:dyDescent="0.25">
      <c r="A292" s="822" t="s">
        <v>48</v>
      </c>
      <c r="B292" s="822"/>
      <c r="C292" s="822"/>
      <c r="D292" s="822" t="s">
        <v>49</v>
      </c>
      <c r="E292" s="822"/>
      <c r="F292" s="822"/>
      <c r="G292" s="822"/>
      <c r="H292" s="822" t="s">
        <v>50</v>
      </c>
      <c r="I292" s="822"/>
      <c r="J292" s="822"/>
      <c r="K292" s="822"/>
    </row>
    <row r="293" spans="1:16" s="198" customFormat="1" ht="6.6" hidden="1" x14ac:dyDescent="0.15">
      <c r="A293" s="893">
        <v>1</v>
      </c>
      <c r="B293" s="893"/>
      <c r="C293" s="893"/>
      <c r="D293" s="893">
        <v>2</v>
      </c>
      <c r="E293" s="893"/>
      <c r="F293" s="893"/>
      <c r="G293" s="893"/>
      <c r="H293" s="893">
        <v>3</v>
      </c>
      <c r="I293" s="893"/>
      <c r="J293" s="893"/>
      <c r="K293" s="893"/>
    </row>
    <row r="294" spans="1:16" ht="357.6" customHeight="1" x14ac:dyDescent="0.25">
      <c r="A294" s="889" t="s">
        <v>251</v>
      </c>
      <c r="B294" s="890"/>
      <c r="C294" s="891"/>
      <c r="D294" s="809" t="s">
        <v>322</v>
      </c>
      <c r="E294" s="810"/>
      <c r="F294" s="810"/>
      <c r="G294" s="811"/>
      <c r="H294" s="806" t="s">
        <v>323</v>
      </c>
      <c r="I294" s="807"/>
      <c r="J294" s="807"/>
      <c r="K294" s="808"/>
    </row>
    <row r="295" spans="1:16" ht="13.9" hidden="1" x14ac:dyDescent="0.25">
      <c r="A295" s="824"/>
      <c r="B295" s="825"/>
      <c r="C295" s="826"/>
      <c r="D295" s="824"/>
      <c r="E295" s="825"/>
      <c r="F295" s="825"/>
      <c r="G295" s="826"/>
      <c r="H295" s="824"/>
      <c r="I295" s="825"/>
      <c r="J295" s="825"/>
      <c r="K295" s="826"/>
    </row>
    <row r="296" spans="1:16" ht="22.5" hidden="1" customHeight="1" x14ac:dyDescent="0.25">
      <c r="A296" s="824"/>
      <c r="B296" s="825"/>
      <c r="C296" s="826"/>
      <c r="D296" s="824"/>
      <c r="E296" s="825"/>
      <c r="F296" s="825"/>
      <c r="G296" s="826"/>
      <c r="H296" s="824"/>
      <c r="I296" s="825"/>
      <c r="J296" s="825"/>
      <c r="K296" s="826"/>
    </row>
    <row r="297" spans="1:16" x14ac:dyDescent="0.25">
      <c r="A297" s="817" t="s">
        <v>541</v>
      </c>
      <c r="B297" s="817"/>
      <c r="C297" s="817"/>
      <c r="D297" s="817"/>
      <c r="E297" s="817"/>
      <c r="F297" s="817"/>
      <c r="G297" s="817"/>
      <c r="H297" s="817"/>
      <c r="I297" s="817"/>
      <c r="J297" s="817"/>
      <c r="K297" s="817"/>
      <c r="L297" s="817"/>
      <c r="M297" s="817"/>
      <c r="N297" s="817"/>
      <c r="O297" s="817"/>
      <c r="P297" s="817"/>
    </row>
    <row r="298" spans="1:16" ht="7.5" customHeight="1" x14ac:dyDescent="0.25"/>
    <row r="299" spans="1:16" x14ac:dyDescent="0.25">
      <c r="A299" s="4" t="s">
        <v>11</v>
      </c>
      <c r="E299" s="909" t="s">
        <v>237</v>
      </c>
      <c r="F299" s="909"/>
      <c r="G299" s="909"/>
      <c r="H299" s="909"/>
      <c r="I299" s="909"/>
      <c r="J299" s="909"/>
      <c r="K299" s="909"/>
      <c r="L299" s="909"/>
      <c r="M299" s="854" t="s">
        <v>314</v>
      </c>
      <c r="N299" s="855"/>
      <c r="O299" s="919" t="s">
        <v>535</v>
      </c>
      <c r="P299" s="919"/>
    </row>
    <row r="300" spans="1:16" ht="22.15" customHeight="1" x14ac:dyDescent="0.25">
      <c r="A300" s="920" t="s">
        <v>83</v>
      </c>
      <c r="B300" s="920"/>
      <c r="C300" s="920"/>
      <c r="D300" s="920"/>
      <c r="E300" s="920"/>
      <c r="F300" s="920"/>
      <c r="G300" s="920"/>
      <c r="H300" s="920"/>
      <c r="I300" s="920"/>
      <c r="J300" s="920"/>
      <c r="K300" s="920"/>
      <c r="L300" s="920"/>
      <c r="M300" s="854"/>
      <c r="N300" s="855"/>
      <c r="O300" s="919"/>
      <c r="P300" s="919"/>
    </row>
    <row r="301" spans="1:16" x14ac:dyDescent="0.25">
      <c r="A301" s="4" t="s">
        <v>12</v>
      </c>
      <c r="M301" s="854"/>
      <c r="N301" s="855"/>
      <c r="O301" s="919"/>
      <c r="P301" s="919"/>
    </row>
    <row r="302" spans="1:16" x14ac:dyDescent="0.25">
      <c r="A302" s="886" t="s">
        <v>85</v>
      </c>
      <c r="B302" s="886"/>
      <c r="C302" s="886"/>
      <c r="D302" s="886"/>
      <c r="E302" s="886"/>
      <c r="F302" s="886"/>
      <c r="G302" s="886"/>
      <c r="H302" s="886"/>
      <c r="I302" s="886"/>
      <c r="J302" s="886"/>
      <c r="K302" s="886"/>
      <c r="L302" s="886"/>
      <c r="M302" s="886"/>
      <c r="N302" s="886"/>
    </row>
    <row r="303" spans="1:16" ht="4.5" customHeight="1" x14ac:dyDescent="0.25">
      <c r="A303" s="718"/>
      <c r="B303" s="718"/>
      <c r="C303" s="718"/>
      <c r="D303" s="718"/>
      <c r="E303" s="718"/>
      <c r="F303" s="718"/>
      <c r="G303" s="718"/>
      <c r="H303" s="718"/>
      <c r="I303" s="718"/>
      <c r="J303" s="718"/>
      <c r="K303" s="718"/>
      <c r="L303" s="718"/>
      <c r="M303" s="718"/>
      <c r="N303" s="718"/>
    </row>
    <row r="304" spans="1:16" x14ac:dyDescent="0.25">
      <c r="A304" s="4" t="s">
        <v>13</v>
      </c>
    </row>
    <row r="305" spans="1:17" ht="5.25" customHeight="1" x14ac:dyDescent="0.25"/>
    <row r="306" spans="1:17" x14ac:dyDescent="0.25">
      <c r="A306" s="4" t="s">
        <v>16</v>
      </c>
    </row>
    <row r="307" spans="1:17" ht="7.5" customHeight="1" x14ac:dyDescent="0.25"/>
    <row r="308" spans="1:17" ht="34.5" customHeight="1" x14ac:dyDescent="0.25">
      <c r="A308" s="812" t="s">
        <v>17</v>
      </c>
      <c r="B308" s="812"/>
      <c r="C308" s="837" t="s">
        <v>18</v>
      </c>
      <c r="D308" s="838"/>
      <c r="E308" s="839"/>
      <c r="F308" s="875" t="s">
        <v>20</v>
      </c>
      <c r="G308" s="875"/>
      <c r="H308" s="812" t="s">
        <v>21</v>
      </c>
      <c r="I308" s="812"/>
      <c r="J308" s="812"/>
      <c r="K308" s="812"/>
      <c r="L308" s="812"/>
      <c r="M308" s="837" t="s">
        <v>22</v>
      </c>
      <c r="N308" s="838"/>
      <c r="O308" s="839"/>
      <c r="P308" s="812" t="s">
        <v>315</v>
      </c>
      <c r="Q308" s="812"/>
    </row>
    <row r="309" spans="1:17" s="188" customFormat="1" ht="24.75" customHeight="1" x14ac:dyDescent="0.2">
      <c r="A309" s="812"/>
      <c r="B309" s="812"/>
      <c r="C309" s="898" t="s">
        <v>19</v>
      </c>
      <c r="D309" s="898" t="s">
        <v>19</v>
      </c>
      <c r="E309" s="898" t="s">
        <v>19</v>
      </c>
      <c r="F309" s="898" t="s">
        <v>19</v>
      </c>
      <c r="G309" s="898" t="s">
        <v>19</v>
      </c>
      <c r="H309" s="812" t="s">
        <v>26</v>
      </c>
      <c r="I309" s="812"/>
      <c r="J309" s="812" t="s">
        <v>23</v>
      </c>
      <c r="K309" s="812"/>
      <c r="L309" s="812"/>
      <c r="M309" s="800" t="s">
        <v>561</v>
      </c>
      <c r="N309" s="800" t="s">
        <v>562</v>
      </c>
      <c r="O309" s="800" t="s">
        <v>563</v>
      </c>
      <c r="P309" s="813" t="s">
        <v>316</v>
      </c>
      <c r="Q309" s="814" t="s">
        <v>317</v>
      </c>
    </row>
    <row r="310" spans="1:17" s="188" customFormat="1" ht="16.5" customHeight="1" x14ac:dyDescent="0.2">
      <c r="A310" s="812"/>
      <c r="B310" s="812"/>
      <c r="C310" s="898"/>
      <c r="D310" s="898"/>
      <c r="E310" s="898"/>
      <c r="F310" s="898"/>
      <c r="G310" s="898"/>
      <c r="H310" s="812"/>
      <c r="I310" s="812"/>
      <c r="J310" s="882" t="s">
        <v>25</v>
      </c>
      <c r="K310" s="883"/>
      <c r="L310" s="719" t="s">
        <v>24</v>
      </c>
      <c r="M310" s="801"/>
      <c r="N310" s="801"/>
      <c r="O310" s="801"/>
      <c r="P310" s="813"/>
      <c r="Q310" s="815"/>
    </row>
    <row r="311" spans="1:17" s="198" customFormat="1" ht="11.25" customHeight="1" x14ac:dyDescent="0.15">
      <c r="A311" s="876">
        <v>1</v>
      </c>
      <c r="B311" s="876"/>
      <c r="C311" s="715">
        <v>2</v>
      </c>
      <c r="D311" s="715">
        <v>3</v>
      </c>
      <c r="E311" s="715">
        <v>4</v>
      </c>
      <c r="F311" s="715">
        <v>5</v>
      </c>
      <c r="G311" s="715">
        <v>6</v>
      </c>
      <c r="H311" s="876">
        <v>7</v>
      </c>
      <c r="I311" s="876"/>
      <c r="J311" s="877">
        <v>8</v>
      </c>
      <c r="K311" s="878"/>
      <c r="L311" s="715">
        <v>9</v>
      </c>
      <c r="M311" s="715">
        <v>10</v>
      </c>
      <c r="N311" s="715">
        <v>11</v>
      </c>
      <c r="O311" s="715">
        <v>12</v>
      </c>
      <c r="P311" s="715">
        <v>13</v>
      </c>
      <c r="Q311" s="716">
        <v>14</v>
      </c>
    </row>
    <row r="312" spans="1:17" ht="30" customHeight="1" x14ac:dyDescent="0.25">
      <c r="A312" s="845" t="s">
        <v>546</v>
      </c>
      <c r="B312" s="846"/>
      <c r="C312" s="8"/>
      <c r="D312" s="8"/>
      <c r="E312" s="8"/>
      <c r="F312" s="8" t="s">
        <v>75</v>
      </c>
      <c r="G312" s="8"/>
      <c r="H312" s="905" t="s">
        <v>81</v>
      </c>
      <c r="I312" s="906"/>
      <c r="J312" s="907" t="s">
        <v>82</v>
      </c>
      <c r="K312" s="908"/>
      <c r="L312" s="189">
        <v>744</v>
      </c>
      <c r="M312" s="190" t="s">
        <v>242</v>
      </c>
      <c r="N312" s="190" t="s">
        <v>242</v>
      </c>
      <c r="O312" s="190" t="s">
        <v>242</v>
      </c>
      <c r="P312" s="717"/>
      <c r="Q312" s="1"/>
    </row>
    <row r="313" spans="1:17" ht="32.25" hidden="1" customHeight="1" x14ac:dyDescent="0.3">
      <c r="A313" s="845"/>
      <c r="B313" s="846"/>
      <c r="C313" s="8"/>
      <c r="D313" s="8"/>
      <c r="E313" s="8"/>
      <c r="F313" s="10" t="s">
        <v>76</v>
      </c>
      <c r="G313" s="8"/>
      <c r="H313" s="905" t="s">
        <v>81</v>
      </c>
      <c r="I313" s="906"/>
      <c r="J313" s="907" t="s">
        <v>82</v>
      </c>
      <c r="K313" s="908"/>
      <c r="L313" s="189">
        <v>744</v>
      </c>
      <c r="M313" s="190" t="s">
        <v>242</v>
      </c>
      <c r="N313" s="190" t="s">
        <v>242</v>
      </c>
      <c r="O313" s="190" t="s">
        <v>242</v>
      </c>
      <c r="P313" s="717"/>
      <c r="Q313" s="1"/>
    </row>
    <row r="314" spans="1:17" ht="13.9" hidden="1" x14ac:dyDescent="0.25">
      <c r="A314" s="824"/>
      <c r="B314" s="826"/>
      <c r="C314" s="1"/>
      <c r="D314" s="1"/>
      <c r="E314" s="1"/>
      <c r="F314" s="1"/>
      <c r="G314" s="1"/>
      <c r="H314" s="824"/>
      <c r="I314" s="826"/>
      <c r="J314" s="824"/>
      <c r="K314" s="826"/>
      <c r="L314" s="1"/>
      <c r="M314" s="1"/>
      <c r="N314" s="1"/>
      <c r="O314" s="824"/>
      <c r="P314" s="826"/>
    </row>
    <row r="315" spans="1:17" ht="13.9" hidden="1" x14ac:dyDescent="0.25">
      <c r="A315" s="824"/>
      <c r="B315" s="826"/>
      <c r="C315" s="1"/>
      <c r="D315" s="1"/>
      <c r="E315" s="1"/>
      <c r="F315" s="1"/>
      <c r="G315" s="1"/>
      <c r="H315" s="824"/>
      <c r="I315" s="826"/>
      <c r="J315" s="824"/>
      <c r="K315" s="826"/>
      <c r="L315" s="1"/>
      <c r="M315" s="1"/>
      <c r="N315" s="1"/>
      <c r="O315" s="824"/>
      <c r="P315" s="826"/>
    </row>
    <row r="316" spans="1:17" ht="13.9" hidden="1" x14ac:dyDescent="0.25">
      <c r="A316" s="824"/>
      <c r="B316" s="826"/>
      <c r="C316" s="1"/>
      <c r="D316" s="1"/>
      <c r="E316" s="1"/>
      <c r="F316" s="1"/>
      <c r="G316" s="1"/>
      <c r="H316" s="824"/>
      <c r="I316" s="826"/>
      <c r="J316" s="824"/>
      <c r="K316" s="826"/>
      <c r="L316" s="1"/>
      <c r="M316" s="1"/>
      <c r="N316" s="1"/>
      <c r="O316" s="824"/>
      <c r="P316" s="826"/>
    </row>
    <row r="317" spans="1:17" ht="13.9" hidden="1" x14ac:dyDescent="0.25">
      <c r="A317" s="824"/>
      <c r="B317" s="826"/>
      <c r="C317" s="1"/>
      <c r="D317" s="1"/>
      <c r="E317" s="1"/>
      <c r="F317" s="1"/>
      <c r="G317" s="1"/>
      <c r="H317" s="824"/>
      <c r="I317" s="826"/>
      <c r="J317" s="824"/>
      <c r="K317" s="826"/>
      <c r="L317" s="1"/>
      <c r="M317" s="1"/>
      <c r="N317" s="1"/>
      <c r="O317" s="824"/>
      <c r="P317" s="826"/>
    </row>
    <row r="318" spans="1:17" ht="13.9" hidden="1" x14ac:dyDescent="0.25">
      <c r="A318" s="824"/>
      <c r="B318" s="826"/>
      <c r="C318" s="1"/>
      <c r="D318" s="1"/>
      <c r="E318" s="1"/>
      <c r="F318" s="1"/>
      <c r="G318" s="1"/>
      <c r="H318" s="824"/>
      <c r="I318" s="826"/>
      <c r="J318" s="824"/>
      <c r="K318" s="826"/>
      <c r="L318" s="1"/>
      <c r="M318" s="1"/>
      <c r="N318" s="1"/>
      <c r="O318" s="824"/>
      <c r="P318" s="826"/>
    </row>
    <row r="319" spans="1:17" ht="13.9" hidden="1" x14ac:dyDescent="0.25">
      <c r="A319" s="824"/>
      <c r="B319" s="826"/>
      <c r="C319" s="1"/>
      <c r="D319" s="1"/>
      <c r="E319" s="1"/>
      <c r="F319" s="1"/>
      <c r="G319" s="1"/>
      <c r="H319" s="824"/>
      <c r="I319" s="826"/>
      <c r="J319" s="824"/>
      <c r="K319" s="826"/>
      <c r="L319" s="1"/>
      <c r="M319" s="1"/>
      <c r="N319" s="1"/>
      <c r="O319" s="824"/>
      <c r="P319" s="826"/>
    </row>
    <row r="320" spans="1:17" ht="7.5" customHeight="1" x14ac:dyDescent="0.25"/>
    <row r="321" spans="1:21" x14ac:dyDescent="0.25">
      <c r="A321" s="4" t="s">
        <v>27</v>
      </c>
    </row>
    <row r="322" spans="1:21" x14ac:dyDescent="0.25">
      <c r="A322" s="4" t="s">
        <v>28</v>
      </c>
      <c r="C322" s="822"/>
      <c r="D322" s="822"/>
    </row>
    <row r="323" spans="1:21" ht="3.75" customHeight="1" x14ac:dyDescent="0.25">
      <c r="D323" s="192"/>
    </row>
    <row r="324" spans="1:21" x14ac:dyDescent="0.25">
      <c r="A324" s="4" t="s">
        <v>37</v>
      </c>
    </row>
    <row r="325" spans="1:21" ht="5.25" customHeight="1" x14ac:dyDescent="0.25"/>
    <row r="326" spans="1:21" ht="45.75" customHeight="1" x14ac:dyDescent="0.25">
      <c r="A326" s="899" t="s">
        <v>17</v>
      </c>
      <c r="B326" s="900"/>
      <c r="C326" s="837" t="s">
        <v>18</v>
      </c>
      <c r="D326" s="838"/>
      <c r="E326" s="839"/>
      <c r="F326" s="875" t="s">
        <v>20</v>
      </c>
      <c r="G326" s="875"/>
      <c r="H326" s="812" t="s">
        <v>29</v>
      </c>
      <c r="I326" s="812"/>
      <c r="J326" s="812"/>
      <c r="K326" s="812" t="s">
        <v>30</v>
      </c>
      <c r="L326" s="812"/>
      <c r="M326" s="812"/>
      <c r="N326" s="838" t="s">
        <v>31</v>
      </c>
      <c r="O326" s="838"/>
      <c r="P326" s="839"/>
      <c r="Q326" s="812" t="s">
        <v>459</v>
      </c>
      <c r="R326" s="812"/>
    </row>
    <row r="327" spans="1:21" ht="42" customHeight="1" x14ac:dyDescent="0.25">
      <c r="A327" s="901"/>
      <c r="B327" s="902"/>
      <c r="C327" s="898" t="s">
        <v>19</v>
      </c>
      <c r="D327" s="898" t="s">
        <v>19</v>
      </c>
      <c r="E327" s="898" t="s">
        <v>19</v>
      </c>
      <c r="F327" s="898" t="s">
        <v>19</v>
      </c>
      <c r="G327" s="898" t="s">
        <v>19</v>
      </c>
      <c r="H327" s="812" t="s">
        <v>26</v>
      </c>
      <c r="I327" s="812" t="s">
        <v>23</v>
      </c>
      <c r="J327" s="812"/>
      <c r="K327" s="800" t="s">
        <v>561</v>
      </c>
      <c r="L327" s="800" t="s">
        <v>562</v>
      </c>
      <c r="M327" s="800" t="s">
        <v>563</v>
      </c>
      <c r="N327" s="800" t="s">
        <v>561</v>
      </c>
      <c r="O327" s="800" t="s">
        <v>562</v>
      </c>
      <c r="P327" s="800" t="s">
        <v>563</v>
      </c>
      <c r="Q327" s="813" t="s">
        <v>316</v>
      </c>
      <c r="R327" s="814" t="s">
        <v>317</v>
      </c>
      <c r="U327" s="4" t="s">
        <v>97</v>
      </c>
    </row>
    <row r="328" spans="1:21" ht="13.5" customHeight="1" x14ac:dyDescent="0.25">
      <c r="A328" s="903"/>
      <c r="B328" s="904"/>
      <c r="C328" s="898"/>
      <c r="D328" s="898"/>
      <c r="E328" s="898"/>
      <c r="F328" s="898"/>
      <c r="G328" s="898"/>
      <c r="H328" s="812"/>
      <c r="I328" s="714" t="s">
        <v>33</v>
      </c>
      <c r="J328" s="719" t="s">
        <v>24</v>
      </c>
      <c r="K328" s="801"/>
      <c r="L328" s="801"/>
      <c r="M328" s="801"/>
      <c r="N328" s="801"/>
      <c r="O328" s="801"/>
      <c r="P328" s="801"/>
      <c r="Q328" s="813"/>
      <c r="R328" s="815"/>
    </row>
    <row r="329" spans="1:21" s="198" customFormat="1" ht="7.5" x14ac:dyDescent="0.15">
      <c r="A329" s="863">
        <v>1</v>
      </c>
      <c r="B329" s="864"/>
      <c r="C329" s="715">
        <v>2</v>
      </c>
      <c r="D329" s="715">
        <v>3</v>
      </c>
      <c r="E329" s="715">
        <v>4</v>
      </c>
      <c r="F329" s="715">
        <v>5</v>
      </c>
      <c r="G329" s="715">
        <v>6</v>
      </c>
      <c r="H329" s="715">
        <v>7</v>
      </c>
      <c r="I329" s="715">
        <v>8</v>
      </c>
      <c r="J329" s="715">
        <v>9</v>
      </c>
      <c r="K329" s="715">
        <v>10</v>
      </c>
      <c r="L329" s="715">
        <v>11</v>
      </c>
      <c r="M329" s="715">
        <v>12</v>
      </c>
      <c r="N329" s="715">
        <v>13</v>
      </c>
      <c r="O329" s="715">
        <v>14</v>
      </c>
      <c r="P329" s="715">
        <v>15</v>
      </c>
      <c r="Q329" s="715">
        <v>13</v>
      </c>
      <c r="R329" s="716">
        <v>14</v>
      </c>
    </row>
    <row r="330" spans="1:21" ht="27.75" customHeight="1" x14ac:dyDescent="0.25">
      <c r="A330" s="897" t="str">
        <f>A312</f>
        <v>802111О.99.0.БА96АА00001</v>
      </c>
      <c r="B330" s="846"/>
      <c r="C330" s="8"/>
      <c r="D330" s="8"/>
      <c r="E330" s="8"/>
      <c r="F330" s="8" t="s">
        <v>75</v>
      </c>
      <c r="G330" s="8"/>
      <c r="H330" s="10" t="s">
        <v>77</v>
      </c>
      <c r="I330" s="9" t="s">
        <v>78</v>
      </c>
      <c r="J330" s="8">
        <v>792</v>
      </c>
      <c r="K330" s="8">
        <f>'проверка 2020'!L4</f>
        <v>2</v>
      </c>
      <c r="L330" s="8">
        <f>'проверка 2021'!L4</f>
        <v>2</v>
      </c>
      <c r="M330" s="8">
        <f>'проверка 2022'!L4</f>
        <v>2</v>
      </c>
      <c r="N330" s="8"/>
      <c r="O330" s="8"/>
      <c r="P330" s="8"/>
      <c r="Q330" s="649">
        <v>0.05</v>
      </c>
      <c r="R330" s="1"/>
    </row>
    <row r="331" spans="1:21" ht="21" hidden="1" x14ac:dyDescent="0.25">
      <c r="A331" s="897">
        <f>A313</f>
        <v>0</v>
      </c>
      <c r="B331" s="846"/>
      <c r="C331" s="8"/>
      <c r="D331" s="8"/>
      <c r="E331" s="8"/>
      <c r="F331" s="10" t="s">
        <v>76</v>
      </c>
      <c r="G331" s="8"/>
      <c r="H331" s="10" t="s">
        <v>77</v>
      </c>
      <c r="I331" s="9" t="s">
        <v>78</v>
      </c>
      <c r="J331" s="8">
        <v>792</v>
      </c>
      <c r="K331" s="8"/>
      <c r="L331" s="8"/>
      <c r="M331" s="8"/>
      <c r="N331" s="8"/>
      <c r="O331" s="9"/>
      <c r="P331" s="9"/>
      <c r="Q331" s="717"/>
      <c r="R331" s="1"/>
    </row>
    <row r="332" spans="1:21" ht="13.9" hidden="1" x14ac:dyDescent="0.25">
      <c r="A332" s="9"/>
      <c r="B332" s="9"/>
      <c r="C332" s="8"/>
      <c r="D332" s="8"/>
      <c r="E332" s="8"/>
      <c r="F332" s="8"/>
      <c r="G332" s="8"/>
      <c r="H332" s="9"/>
      <c r="I332" s="9"/>
      <c r="J332" s="8"/>
      <c r="K332" s="8"/>
      <c r="L332" s="8"/>
      <c r="M332" s="8"/>
      <c r="N332" s="8"/>
      <c r="O332" s="193"/>
      <c r="P332" s="194"/>
    </row>
    <row r="333" spans="1:21" ht="13.9" hidden="1" x14ac:dyDescent="0.25">
      <c r="A333" s="3"/>
      <c r="B333" s="3"/>
      <c r="C333" s="1"/>
      <c r="D333" s="1"/>
      <c r="E333" s="1"/>
      <c r="F333" s="1"/>
      <c r="G333" s="1"/>
      <c r="H333" s="3"/>
      <c r="I333" s="3"/>
      <c r="J333" s="1"/>
      <c r="K333" s="1"/>
      <c r="L333" s="1"/>
      <c r="M333" s="1"/>
      <c r="N333" s="1"/>
      <c r="O333" s="195"/>
      <c r="P333" s="196"/>
    </row>
    <row r="334" spans="1:21" ht="13.9" hidden="1" x14ac:dyDescent="0.25">
      <c r="A334" s="3"/>
      <c r="B334" s="3"/>
      <c r="C334" s="1"/>
      <c r="D334" s="1"/>
      <c r="E334" s="1"/>
      <c r="F334" s="1"/>
      <c r="G334" s="1"/>
      <c r="H334" s="3"/>
      <c r="I334" s="3"/>
      <c r="J334" s="1"/>
      <c r="K334" s="1"/>
      <c r="L334" s="1"/>
      <c r="M334" s="1"/>
      <c r="N334" s="1"/>
      <c r="O334" s="195"/>
      <c r="P334" s="196"/>
    </row>
    <row r="335" spans="1:21" ht="13.9" hidden="1" x14ac:dyDescent="0.25">
      <c r="A335" s="3"/>
      <c r="B335" s="3"/>
      <c r="C335" s="1"/>
      <c r="D335" s="1"/>
      <c r="E335" s="1"/>
      <c r="F335" s="1"/>
      <c r="G335" s="1"/>
      <c r="H335" s="3"/>
      <c r="I335" s="3"/>
      <c r="J335" s="1"/>
      <c r="K335" s="1"/>
      <c r="L335" s="1"/>
      <c r="M335" s="1"/>
      <c r="N335" s="1"/>
      <c r="O335" s="195"/>
      <c r="P335" s="196"/>
    </row>
    <row r="336" spans="1:21" ht="13.9" hidden="1" x14ac:dyDescent="0.25">
      <c r="A336" s="3"/>
      <c r="B336" s="3"/>
      <c r="C336" s="1"/>
      <c r="D336" s="1"/>
      <c r="E336" s="1"/>
      <c r="F336" s="1"/>
      <c r="G336" s="1"/>
      <c r="H336" s="3"/>
      <c r="I336" s="3"/>
      <c r="J336" s="1"/>
      <c r="K336" s="1"/>
      <c r="L336" s="1"/>
      <c r="M336" s="1"/>
      <c r="N336" s="1"/>
      <c r="O336" s="195"/>
      <c r="P336" s="196"/>
    </row>
    <row r="337" spans="1:16" ht="13.9" hidden="1" x14ac:dyDescent="0.25">
      <c r="A337" s="3"/>
      <c r="B337" s="3"/>
      <c r="C337" s="1"/>
      <c r="D337" s="1"/>
      <c r="E337" s="1"/>
      <c r="F337" s="1"/>
      <c r="G337" s="1"/>
      <c r="H337" s="3"/>
      <c r="I337" s="3"/>
      <c r="J337" s="1"/>
      <c r="K337" s="1"/>
      <c r="L337" s="1"/>
      <c r="M337" s="1"/>
      <c r="N337" s="1"/>
      <c r="O337" s="195"/>
      <c r="P337" s="196"/>
    </row>
    <row r="338" spans="1:16" ht="6" customHeight="1" x14ac:dyDescent="0.25"/>
    <row r="339" spans="1:16" x14ac:dyDescent="0.25">
      <c r="A339" s="4" t="s">
        <v>32</v>
      </c>
    </row>
    <row r="340" spans="1:16" x14ac:dyDescent="0.25">
      <c r="A340" s="4" t="s">
        <v>28</v>
      </c>
      <c r="C340" s="822"/>
      <c r="D340" s="822"/>
    </row>
    <row r="341" spans="1:16" ht="6" customHeight="1" x14ac:dyDescent="0.25">
      <c r="D341" s="192"/>
    </row>
    <row r="342" spans="1:16" x14ac:dyDescent="0.25">
      <c r="A342" s="4" t="s">
        <v>38</v>
      </c>
    </row>
    <row r="343" spans="1:16" ht="8.25" customHeight="1" x14ac:dyDescent="0.25"/>
    <row r="344" spans="1:16" x14ac:dyDescent="0.25">
      <c r="A344" s="822" t="s">
        <v>43</v>
      </c>
      <c r="B344" s="822"/>
      <c r="C344" s="822"/>
      <c r="D344" s="822"/>
      <c r="E344" s="822"/>
      <c r="F344" s="822"/>
      <c r="G344" s="822"/>
      <c r="H344" s="822"/>
      <c r="I344" s="822"/>
      <c r="J344" s="822"/>
      <c r="K344" s="822"/>
      <c r="L344" s="822"/>
      <c r="M344" s="822"/>
      <c r="N344" s="822"/>
      <c r="O344" s="822"/>
      <c r="P344" s="822"/>
    </row>
    <row r="345" spans="1:16" x14ac:dyDescent="0.25">
      <c r="A345" s="713" t="s">
        <v>39</v>
      </c>
      <c r="B345" s="822" t="s">
        <v>40</v>
      </c>
      <c r="C345" s="822"/>
      <c r="D345" s="822"/>
      <c r="E345" s="713" t="s">
        <v>41</v>
      </c>
      <c r="F345" s="713" t="s">
        <v>42</v>
      </c>
      <c r="G345" s="822" t="s">
        <v>25</v>
      </c>
      <c r="H345" s="822"/>
      <c r="I345" s="822"/>
      <c r="J345" s="822"/>
      <c r="K345" s="822"/>
      <c r="L345" s="822"/>
      <c r="M345" s="822"/>
      <c r="N345" s="822"/>
      <c r="O345" s="822"/>
      <c r="P345" s="822"/>
    </row>
    <row r="346" spans="1:16" s="198" customFormat="1" ht="7.5" x14ac:dyDescent="0.15">
      <c r="A346" s="716">
        <v>1</v>
      </c>
      <c r="B346" s="893">
        <v>2</v>
      </c>
      <c r="C346" s="893"/>
      <c r="D346" s="893"/>
      <c r="E346" s="716">
        <v>3</v>
      </c>
      <c r="F346" s="716">
        <v>4</v>
      </c>
      <c r="G346" s="893">
        <v>5</v>
      </c>
      <c r="H346" s="893"/>
      <c r="I346" s="893"/>
      <c r="J346" s="893"/>
      <c r="K346" s="893"/>
      <c r="L346" s="893"/>
      <c r="M346" s="893"/>
      <c r="N346" s="893"/>
      <c r="O346" s="893"/>
      <c r="P346" s="893"/>
    </row>
    <row r="347" spans="1:16" s="756" customFormat="1" ht="33" customHeight="1" x14ac:dyDescent="0.2">
      <c r="A347" s="734" t="s">
        <v>243</v>
      </c>
      <c r="B347" s="829" t="s">
        <v>244</v>
      </c>
      <c r="C347" s="830"/>
      <c r="D347" s="831"/>
      <c r="E347" s="755">
        <v>43306</v>
      </c>
      <c r="F347" s="734">
        <v>129</v>
      </c>
      <c r="G347" s="832" t="s">
        <v>558</v>
      </c>
      <c r="H347" s="833"/>
      <c r="I347" s="833"/>
      <c r="J347" s="833"/>
      <c r="K347" s="833"/>
      <c r="L347" s="833"/>
      <c r="M347" s="833"/>
      <c r="N347" s="833"/>
      <c r="O347" s="833"/>
      <c r="P347" s="834"/>
    </row>
    <row r="348" spans="1:16" s="188" customFormat="1" ht="35.25" customHeight="1" x14ac:dyDescent="0.2">
      <c r="A348" s="8" t="s">
        <v>456</v>
      </c>
      <c r="B348" s="894" t="s">
        <v>457</v>
      </c>
      <c r="C348" s="894"/>
      <c r="D348" s="894"/>
      <c r="E348" s="197">
        <v>43822</v>
      </c>
      <c r="F348" s="725" t="s">
        <v>573</v>
      </c>
      <c r="G348" s="895" t="s">
        <v>572</v>
      </c>
      <c r="H348" s="895"/>
      <c r="I348" s="895"/>
      <c r="J348" s="895"/>
      <c r="K348" s="895"/>
      <c r="L348" s="895"/>
      <c r="M348" s="895"/>
      <c r="N348" s="895"/>
      <c r="O348" s="895"/>
      <c r="P348" s="895"/>
    </row>
    <row r="349" spans="1:16" s="188" customFormat="1" ht="35.25" customHeight="1" x14ac:dyDescent="0.2">
      <c r="A349" s="8" t="s">
        <v>456</v>
      </c>
      <c r="B349" s="894" t="s">
        <v>457</v>
      </c>
      <c r="C349" s="894"/>
      <c r="D349" s="894"/>
      <c r="E349" s="197">
        <v>43600</v>
      </c>
      <c r="F349" s="730" t="s">
        <v>560</v>
      </c>
      <c r="G349" s="880" t="s">
        <v>559</v>
      </c>
      <c r="H349" s="896"/>
      <c r="I349" s="896"/>
      <c r="J349" s="896"/>
      <c r="K349" s="896"/>
      <c r="L349" s="896"/>
      <c r="M349" s="896"/>
      <c r="N349" s="896"/>
      <c r="O349" s="896"/>
      <c r="P349" s="881"/>
    </row>
    <row r="350" spans="1:16" s="188" customFormat="1" ht="10.15" hidden="1" x14ac:dyDescent="0.2">
      <c r="A350" s="8"/>
      <c r="B350" s="827"/>
      <c r="C350" s="827"/>
      <c r="D350" s="827"/>
      <c r="E350" s="8"/>
      <c r="F350" s="8"/>
      <c r="G350" s="843"/>
      <c r="H350" s="843"/>
      <c r="I350" s="843"/>
      <c r="J350" s="843"/>
      <c r="K350" s="843"/>
      <c r="L350" s="843"/>
      <c r="M350" s="843"/>
      <c r="N350" s="843"/>
      <c r="O350" s="843"/>
      <c r="P350" s="843"/>
    </row>
    <row r="351" spans="1:16" ht="5.25" customHeight="1" x14ac:dyDescent="0.25"/>
    <row r="352" spans="1:16" x14ac:dyDescent="0.25">
      <c r="A352" s="4" t="s">
        <v>44</v>
      </c>
    </row>
    <row r="353" spans="1:16" ht="3" customHeight="1" x14ac:dyDescent="0.25"/>
    <row r="354" spans="1:16" x14ac:dyDescent="0.25">
      <c r="A354" s="4" t="s">
        <v>45</v>
      </c>
    </row>
    <row r="355" spans="1:16" ht="98.25" customHeight="1" x14ac:dyDescent="0.25">
      <c r="A355" s="860" t="s">
        <v>327</v>
      </c>
      <c r="B355" s="860"/>
      <c r="C355" s="860"/>
      <c r="D355" s="860"/>
      <c r="E355" s="860"/>
      <c r="F355" s="860"/>
      <c r="G355" s="860"/>
      <c r="H355" s="860"/>
      <c r="I355" s="860"/>
      <c r="J355" s="860"/>
      <c r="K355" s="860"/>
      <c r="L355" s="860"/>
      <c r="M355" s="860"/>
      <c r="N355" s="860"/>
      <c r="O355" s="860"/>
      <c r="P355" s="860"/>
    </row>
    <row r="356" spans="1:16" x14ac:dyDescent="0.25">
      <c r="A356" s="892" t="s">
        <v>46</v>
      </c>
      <c r="B356" s="892"/>
      <c r="C356" s="892"/>
      <c r="D356" s="892"/>
      <c r="E356" s="892"/>
      <c r="F356" s="892"/>
      <c r="G356" s="892"/>
      <c r="H356" s="892"/>
      <c r="I356" s="892"/>
      <c r="J356" s="892"/>
      <c r="K356" s="892"/>
      <c r="L356" s="892"/>
    </row>
    <row r="357" spans="1:16" ht="3.75" customHeight="1" x14ac:dyDescent="0.25"/>
    <row r="358" spans="1:16" x14ac:dyDescent="0.25">
      <c r="A358" s="4" t="s">
        <v>47</v>
      </c>
    </row>
    <row r="360" spans="1:16" ht="10.5" customHeight="1" x14ac:dyDescent="0.25">
      <c r="A360" s="822" t="s">
        <v>48</v>
      </c>
      <c r="B360" s="822"/>
      <c r="C360" s="822"/>
      <c r="D360" s="822" t="s">
        <v>49</v>
      </c>
      <c r="E360" s="822"/>
      <c r="F360" s="822"/>
      <c r="G360" s="822"/>
      <c r="H360" s="822" t="s">
        <v>50</v>
      </c>
      <c r="I360" s="822"/>
      <c r="J360" s="822"/>
      <c r="K360" s="822"/>
    </row>
    <row r="361" spans="1:16" s="198" customFormat="1" ht="6.6" hidden="1" x14ac:dyDescent="0.15">
      <c r="A361" s="893">
        <v>1</v>
      </c>
      <c r="B361" s="893"/>
      <c r="C361" s="893"/>
      <c r="D361" s="893">
        <v>2</v>
      </c>
      <c r="E361" s="893"/>
      <c r="F361" s="893"/>
      <c r="G361" s="893"/>
      <c r="H361" s="893">
        <v>3</v>
      </c>
      <c r="I361" s="893"/>
      <c r="J361" s="893"/>
      <c r="K361" s="893"/>
    </row>
    <row r="362" spans="1:16" ht="357.6" customHeight="1" x14ac:dyDescent="0.25">
      <c r="A362" s="889" t="s">
        <v>251</v>
      </c>
      <c r="B362" s="890"/>
      <c r="C362" s="891"/>
      <c r="D362" s="809" t="s">
        <v>322</v>
      </c>
      <c r="E362" s="810"/>
      <c r="F362" s="810"/>
      <c r="G362" s="811"/>
      <c r="H362" s="806" t="s">
        <v>323</v>
      </c>
      <c r="I362" s="807"/>
      <c r="J362" s="807"/>
      <c r="K362" s="808"/>
    </row>
    <row r="363" spans="1:16" hidden="1" x14ac:dyDescent="0.25">
      <c r="A363" s="817" t="s">
        <v>542</v>
      </c>
      <c r="B363" s="817"/>
      <c r="C363" s="817"/>
      <c r="D363" s="817"/>
      <c r="E363" s="817"/>
      <c r="F363" s="817"/>
      <c r="G363" s="817"/>
      <c r="H363" s="817"/>
      <c r="I363" s="817"/>
      <c r="J363" s="817"/>
      <c r="K363" s="817"/>
      <c r="L363" s="817"/>
      <c r="M363" s="817"/>
      <c r="N363" s="817"/>
      <c r="O363" s="817"/>
      <c r="P363" s="817"/>
    </row>
    <row r="364" spans="1:16" ht="7.5" hidden="1" customHeight="1" x14ac:dyDescent="0.25"/>
    <row r="365" spans="1:16" hidden="1" x14ac:dyDescent="0.25">
      <c r="A365" s="4" t="s">
        <v>11</v>
      </c>
      <c r="E365" s="909" t="s">
        <v>237</v>
      </c>
      <c r="F365" s="909"/>
      <c r="G365" s="909"/>
      <c r="H365" s="909"/>
      <c r="I365" s="909"/>
      <c r="J365" s="909"/>
      <c r="K365" s="909"/>
      <c r="L365" s="909"/>
      <c r="M365" s="854" t="s">
        <v>314</v>
      </c>
      <c r="N365" s="855"/>
      <c r="O365" s="919" t="s">
        <v>536</v>
      </c>
      <c r="P365" s="919"/>
    </row>
    <row r="366" spans="1:16" ht="22.15" hidden="1" customHeight="1" x14ac:dyDescent="0.25">
      <c r="A366" s="920" t="s">
        <v>84</v>
      </c>
      <c r="B366" s="920"/>
      <c r="C366" s="920"/>
      <c r="D366" s="920"/>
      <c r="E366" s="920"/>
      <c r="F366" s="920"/>
      <c r="G366" s="920"/>
      <c r="H366" s="920"/>
      <c r="I366" s="920"/>
      <c r="J366" s="920"/>
      <c r="K366" s="920"/>
      <c r="L366" s="920"/>
      <c r="M366" s="854"/>
      <c r="N366" s="855"/>
      <c r="O366" s="919"/>
      <c r="P366" s="919"/>
    </row>
    <row r="367" spans="1:16" hidden="1" x14ac:dyDescent="0.25">
      <c r="A367" s="4" t="s">
        <v>12</v>
      </c>
      <c r="M367" s="854"/>
      <c r="N367" s="855"/>
      <c r="O367" s="919"/>
      <c r="P367" s="919"/>
    </row>
    <row r="368" spans="1:16" hidden="1" x14ac:dyDescent="0.25">
      <c r="A368" s="886" t="s">
        <v>85</v>
      </c>
      <c r="B368" s="886"/>
      <c r="C368" s="886"/>
      <c r="D368" s="886"/>
      <c r="E368" s="886"/>
      <c r="F368" s="886"/>
      <c r="G368" s="886"/>
      <c r="H368" s="886"/>
      <c r="I368" s="886"/>
      <c r="J368" s="886"/>
      <c r="K368" s="886"/>
      <c r="L368" s="886"/>
      <c r="M368" s="886"/>
      <c r="N368" s="886"/>
    </row>
    <row r="369" spans="1:17" ht="4.5" hidden="1" customHeight="1" x14ac:dyDescent="0.25">
      <c r="A369" s="718"/>
      <c r="B369" s="718"/>
      <c r="C369" s="718"/>
      <c r="D369" s="718"/>
      <c r="E369" s="718"/>
      <c r="F369" s="718"/>
      <c r="G369" s="718"/>
      <c r="H369" s="718"/>
      <c r="I369" s="718"/>
      <c r="J369" s="718"/>
      <c r="K369" s="718"/>
      <c r="L369" s="718"/>
      <c r="M369" s="718"/>
      <c r="N369" s="718"/>
    </row>
    <row r="370" spans="1:17" hidden="1" x14ac:dyDescent="0.25">
      <c r="A370" s="4" t="s">
        <v>13</v>
      </c>
    </row>
    <row r="371" spans="1:17" ht="5.25" hidden="1" customHeight="1" x14ac:dyDescent="0.25"/>
    <row r="372" spans="1:17" hidden="1" x14ac:dyDescent="0.25">
      <c r="A372" s="4" t="s">
        <v>16</v>
      </c>
    </row>
    <row r="373" spans="1:17" ht="7.5" hidden="1" customHeight="1" x14ac:dyDescent="0.25"/>
    <row r="374" spans="1:17" ht="34.5" hidden="1" customHeight="1" x14ac:dyDescent="0.25">
      <c r="A374" s="812" t="s">
        <v>17</v>
      </c>
      <c r="B374" s="812"/>
      <c r="C374" s="837" t="s">
        <v>18</v>
      </c>
      <c r="D374" s="838"/>
      <c r="E374" s="839"/>
      <c r="F374" s="875" t="s">
        <v>20</v>
      </c>
      <c r="G374" s="875"/>
      <c r="H374" s="812" t="s">
        <v>21</v>
      </c>
      <c r="I374" s="812"/>
      <c r="J374" s="812"/>
      <c r="K374" s="812"/>
      <c r="L374" s="812"/>
      <c r="M374" s="837" t="s">
        <v>22</v>
      </c>
      <c r="N374" s="838"/>
      <c r="O374" s="839"/>
      <c r="P374" s="812" t="s">
        <v>315</v>
      </c>
      <c r="Q374" s="812"/>
    </row>
    <row r="375" spans="1:17" s="188" customFormat="1" ht="24.75" hidden="1" customHeight="1" x14ac:dyDescent="0.2">
      <c r="A375" s="812"/>
      <c r="B375" s="812"/>
      <c r="C375" s="898" t="s">
        <v>19</v>
      </c>
      <c r="D375" s="898" t="s">
        <v>19</v>
      </c>
      <c r="E375" s="898" t="s">
        <v>19</v>
      </c>
      <c r="F375" s="898" t="s">
        <v>19</v>
      </c>
      <c r="G375" s="898" t="s">
        <v>19</v>
      </c>
      <c r="H375" s="812" t="s">
        <v>26</v>
      </c>
      <c r="I375" s="812"/>
      <c r="J375" s="812" t="s">
        <v>23</v>
      </c>
      <c r="K375" s="812"/>
      <c r="L375" s="812"/>
      <c r="M375" s="800" t="s">
        <v>561</v>
      </c>
      <c r="N375" s="800" t="s">
        <v>562</v>
      </c>
      <c r="O375" s="800" t="s">
        <v>563</v>
      </c>
      <c r="P375" s="813" t="s">
        <v>316</v>
      </c>
      <c r="Q375" s="814" t="s">
        <v>317</v>
      </c>
    </row>
    <row r="376" spans="1:17" s="188" customFormat="1" ht="16.5" hidden="1" customHeight="1" x14ac:dyDescent="0.2">
      <c r="A376" s="812"/>
      <c r="B376" s="812"/>
      <c r="C376" s="898"/>
      <c r="D376" s="898"/>
      <c r="E376" s="898"/>
      <c r="F376" s="898"/>
      <c r="G376" s="898"/>
      <c r="H376" s="812"/>
      <c r="I376" s="812"/>
      <c r="J376" s="882" t="s">
        <v>25</v>
      </c>
      <c r="K376" s="883"/>
      <c r="L376" s="719" t="s">
        <v>24</v>
      </c>
      <c r="M376" s="801"/>
      <c r="N376" s="801"/>
      <c r="O376" s="801"/>
      <c r="P376" s="813"/>
      <c r="Q376" s="815"/>
    </row>
    <row r="377" spans="1:17" s="198" customFormat="1" ht="11.25" hidden="1" customHeight="1" x14ac:dyDescent="0.15">
      <c r="A377" s="876">
        <v>1</v>
      </c>
      <c r="B377" s="876"/>
      <c r="C377" s="715">
        <v>2</v>
      </c>
      <c r="D377" s="715">
        <v>3</v>
      </c>
      <c r="E377" s="715">
        <v>4</v>
      </c>
      <c r="F377" s="715">
        <v>5</v>
      </c>
      <c r="G377" s="715">
        <v>6</v>
      </c>
      <c r="H377" s="876">
        <v>7</v>
      </c>
      <c r="I377" s="876"/>
      <c r="J377" s="877">
        <v>8</v>
      </c>
      <c r="K377" s="878"/>
      <c r="L377" s="715">
        <v>9</v>
      </c>
      <c r="M377" s="715">
        <v>10</v>
      </c>
      <c r="N377" s="715">
        <v>11</v>
      </c>
      <c r="O377" s="715">
        <v>12</v>
      </c>
      <c r="P377" s="715">
        <v>13</v>
      </c>
      <c r="Q377" s="716">
        <v>14</v>
      </c>
    </row>
    <row r="378" spans="1:17" ht="30" hidden="1" customHeight="1" x14ac:dyDescent="0.25">
      <c r="A378" s="845" t="s">
        <v>547</v>
      </c>
      <c r="B378" s="846"/>
      <c r="C378" s="8"/>
      <c r="D378" s="8"/>
      <c r="E378" s="8"/>
      <c r="F378" s="8" t="s">
        <v>75</v>
      </c>
      <c r="G378" s="8"/>
      <c r="H378" s="905" t="s">
        <v>81</v>
      </c>
      <c r="I378" s="906"/>
      <c r="J378" s="907" t="s">
        <v>82</v>
      </c>
      <c r="K378" s="908"/>
      <c r="L378" s="189">
        <v>744</v>
      </c>
      <c r="M378" s="190" t="s">
        <v>242</v>
      </c>
      <c r="N378" s="190" t="s">
        <v>242</v>
      </c>
      <c r="O378" s="190" t="s">
        <v>242</v>
      </c>
      <c r="P378" s="717"/>
      <c r="Q378" s="1"/>
    </row>
    <row r="379" spans="1:17" ht="32.25" hidden="1" customHeight="1" x14ac:dyDescent="0.3">
      <c r="A379" s="845"/>
      <c r="B379" s="846"/>
      <c r="C379" s="8"/>
      <c r="D379" s="8"/>
      <c r="E379" s="8"/>
      <c r="F379" s="10" t="s">
        <v>76</v>
      </c>
      <c r="G379" s="8"/>
      <c r="H379" s="905" t="s">
        <v>81</v>
      </c>
      <c r="I379" s="906"/>
      <c r="J379" s="907" t="s">
        <v>82</v>
      </c>
      <c r="K379" s="908"/>
      <c r="L379" s="189">
        <v>744</v>
      </c>
      <c r="M379" s="190" t="s">
        <v>242</v>
      </c>
      <c r="N379" s="190" t="s">
        <v>242</v>
      </c>
      <c r="O379" s="190" t="s">
        <v>242</v>
      </c>
      <c r="P379" s="717"/>
      <c r="Q379" s="1"/>
    </row>
    <row r="380" spans="1:17" ht="13.9" hidden="1" x14ac:dyDescent="0.25">
      <c r="A380" s="824"/>
      <c r="B380" s="826"/>
      <c r="C380" s="1"/>
      <c r="D380" s="1"/>
      <c r="E380" s="1"/>
      <c r="F380" s="1"/>
      <c r="G380" s="1"/>
      <c r="H380" s="824"/>
      <c r="I380" s="826"/>
      <c r="J380" s="824"/>
      <c r="K380" s="826"/>
      <c r="L380" s="1"/>
      <c r="M380" s="1"/>
      <c r="N380" s="1"/>
      <c r="O380" s="824"/>
      <c r="P380" s="826"/>
    </row>
    <row r="381" spans="1:17" ht="13.9" hidden="1" x14ac:dyDescent="0.25">
      <c r="A381" s="824"/>
      <c r="B381" s="826"/>
      <c r="C381" s="1"/>
      <c r="D381" s="1"/>
      <c r="E381" s="1"/>
      <c r="F381" s="1"/>
      <c r="G381" s="1"/>
      <c r="H381" s="824"/>
      <c r="I381" s="826"/>
      <c r="J381" s="824"/>
      <c r="K381" s="826"/>
      <c r="L381" s="1"/>
      <c r="M381" s="1"/>
      <c r="N381" s="1"/>
      <c r="O381" s="824"/>
      <c r="P381" s="826"/>
    </row>
    <row r="382" spans="1:17" ht="13.9" hidden="1" x14ac:dyDescent="0.25">
      <c r="A382" s="824"/>
      <c r="B382" s="826"/>
      <c r="C382" s="1"/>
      <c r="D382" s="1"/>
      <c r="E382" s="1"/>
      <c r="F382" s="1"/>
      <c r="G382" s="1"/>
      <c r="H382" s="824"/>
      <c r="I382" s="826"/>
      <c r="J382" s="824"/>
      <c r="K382" s="826"/>
      <c r="L382" s="1"/>
      <c r="M382" s="1"/>
      <c r="N382" s="1"/>
      <c r="O382" s="824"/>
      <c r="P382" s="826"/>
    </row>
    <row r="383" spans="1:17" ht="13.9" hidden="1" x14ac:dyDescent="0.25">
      <c r="A383" s="824"/>
      <c r="B383" s="826"/>
      <c r="C383" s="1"/>
      <c r="D383" s="1"/>
      <c r="E383" s="1"/>
      <c r="F383" s="1"/>
      <c r="G383" s="1"/>
      <c r="H383" s="824"/>
      <c r="I383" s="826"/>
      <c r="J383" s="824"/>
      <c r="K383" s="826"/>
      <c r="L383" s="1"/>
      <c r="M383" s="1"/>
      <c r="N383" s="1"/>
      <c r="O383" s="824"/>
      <c r="P383" s="826"/>
    </row>
    <row r="384" spans="1:17" ht="13.9" hidden="1" x14ac:dyDescent="0.25">
      <c r="A384" s="824"/>
      <c r="B384" s="826"/>
      <c r="C384" s="1"/>
      <c r="D384" s="1"/>
      <c r="E384" s="1"/>
      <c r="F384" s="1"/>
      <c r="G384" s="1"/>
      <c r="H384" s="824"/>
      <c r="I384" s="826"/>
      <c r="J384" s="824"/>
      <c r="K384" s="826"/>
      <c r="L384" s="1"/>
      <c r="M384" s="1"/>
      <c r="N384" s="1"/>
      <c r="O384" s="824"/>
      <c r="P384" s="826"/>
    </row>
    <row r="385" spans="1:21" ht="13.9" hidden="1" x14ac:dyDescent="0.25">
      <c r="A385" s="824"/>
      <c r="B385" s="826"/>
      <c r="C385" s="1"/>
      <c r="D385" s="1"/>
      <c r="E385" s="1"/>
      <c r="F385" s="1"/>
      <c r="G385" s="1"/>
      <c r="H385" s="824"/>
      <c r="I385" s="826"/>
      <c r="J385" s="824"/>
      <c r="K385" s="826"/>
      <c r="L385" s="1"/>
      <c r="M385" s="1"/>
      <c r="N385" s="1"/>
      <c r="O385" s="824"/>
      <c r="P385" s="826"/>
    </row>
    <row r="386" spans="1:21" ht="7.5" hidden="1" customHeight="1" x14ac:dyDescent="0.25"/>
    <row r="387" spans="1:21" hidden="1" x14ac:dyDescent="0.25">
      <c r="A387" s="4" t="s">
        <v>27</v>
      </c>
    </row>
    <row r="388" spans="1:21" hidden="1" x14ac:dyDescent="0.25">
      <c r="A388" s="4" t="s">
        <v>28</v>
      </c>
      <c r="C388" s="822"/>
      <c r="D388" s="822"/>
    </row>
    <row r="389" spans="1:21" ht="3.75" hidden="1" customHeight="1" x14ac:dyDescent="0.25">
      <c r="D389" s="192"/>
    </row>
    <row r="390" spans="1:21" hidden="1" x14ac:dyDescent="0.25">
      <c r="A390" s="4" t="s">
        <v>37</v>
      </c>
    </row>
    <row r="391" spans="1:21" ht="5.25" hidden="1" customHeight="1" x14ac:dyDescent="0.25"/>
    <row r="392" spans="1:21" ht="45.75" hidden="1" customHeight="1" x14ac:dyDescent="0.25">
      <c r="A392" s="899" t="s">
        <v>17</v>
      </c>
      <c r="B392" s="900"/>
      <c r="C392" s="837" t="s">
        <v>18</v>
      </c>
      <c r="D392" s="838"/>
      <c r="E392" s="839"/>
      <c r="F392" s="875" t="s">
        <v>20</v>
      </c>
      <c r="G392" s="875"/>
      <c r="H392" s="812" t="s">
        <v>29</v>
      </c>
      <c r="I392" s="812"/>
      <c r="J392" s="812"/>
      <c r="K392" s="812" t="s">
        <v>30</v>
      </c>
      <c r="L392" s="812"/>
      <c r="M392" s="812"/>
      <c r="N392" s="838" t="s">
        <v>31</v>
      </c>
      <c r="O392" s="838"/>
      <c r="P392" s="839"/>
      <c r="Q392" s="812" t="s">
        <v>459</v>
      </c>
      <c r="R392" s="812"/>
    </row>
    <row r="393" spans="1:21" ht="42" hidden="1" customHeight="1" x14ac:dyDescent="0.25">
      <c r="A393" s="901"/>
      <c r="B393" s="902"/>
      <c r="C393" s="898" t="s">
        <v>19</v>
      </c>
      <c r="D393" s="898" t="s">
        <v>19</v>
      </c>
      <c r="E393" s="898" t="s">
        <v>19</v>
      </c>
      <c r="F393" s="898" t="s">
        <v>19</v>
      </c>
      <c r="G393" s="898" t="s">
        <v>19</v>
      </c>
      <c r="H393" s="812" t="s">
        <v>26</v>
      </c>
      <c r="I393" s="812" t="s">
        <v>23</v>
      </c>
      <c r="J393" s="812"/>
      <c r="K393" s="800" t="s">
        <v>561</v>
      </c>
      <c r="L393" s="800" t="s">
        <v>562</v>
      </c>
      <c r="M393" s="800" t="s">
        <v>563</v>
      </c>
      <c r="N393" s="800" t="s">
        <v>561</v>
      </c>
      <c r="O393" s="800" t="s">
        <v>562</v>
      </c>
      <c r="P393" s="800" t="s">
        <v>563</v>
      </c>
      <c r="Q393" s="813" t="s">
        <v>316</v>
      </c>
      <c r="R393" s="814" t="s">
        <v>317</v>
      </c>
      <c r="U393" s="4" t="s">
        <v>97</v>
      </c>
    </row>
    <row r="394" spans="1:21" ht="13.5" hidden="1" customHeight="1" x14ac:dyDescent="0.25">
      <c r="A394" s="903"/>
      <c r="B394" s="904"/>
      <c r="C394" s="898"/>
      <c r="D394" s="898"/>
      <c r="E394" s="898"/>
      <c r="F394" s="898"/>
      <c r="G394" s="898"/>
      <c r="H394" s="812"/>
      <c r="I394" s="714" t="s">
        <v>33</v>
      </c>
      <c r="J394" s="719" t="s">
        <v>24</v>
      </c>
      <c r="K394" s="801"/>
      <c r="L394" s="801"/>
      <c r="M394" s="801"/>
      <c r="N394" s="801"/>
      <c r="O394" s="801"/>
      <c r="P394" s="801"/>
      <c r="Q394" s="813"/>
      <c r="R394" s="815"/>
    </row>
    <row r="395" spans="1:21" s="198" customFormat="1" ht="7.5" hidden="1" x14ac:dyDescent="0.15">
      <c r="A395" s="863">
        <v>1</v>
      </c>
      <c r="B395" s="864"/>
      <c r="C395" s="715">
        <v>2</v>
      </c>
      <c r="D395" s="715">
        <v>3</v>
      </c>
      <c r="E395" s="715">
        <v>4</v>
      </c>
      <c r="F395" s="715">
        <v>5</v>
      </c>
      <c r="G395" s="715">
        <v>6</v>
      </c>
      <c r="H395" s="715">
        <v>7</v>
      </c>
      <c r="I395" s="715">
        <v>8</v>
      </c>
      <c r="J395" s="715">
        <v>9</v>
      </c>
      <c r="K395" s="715">
        <v>10</v>
      </c>
      <c r="L395" s="715">
        <v>11</v>
      </c>
      <c r="M395" s="715">
        <v>12</v>
      </c>
      <c r="N395" s="715">
        <v>13</v>
      </c>
      <c r="O395" s="715">
        <v>14</v>
      </c>
      <c r="P395" s="715">
        <v>15</v>
      </c>
      <c r="Q395" s="715">
        <v>13</v>
      </c>
      <c r="R395" s="716">
        <v>14</v>
      </c>
    </row>
    <row r="396" spans="1:21" ht="27.75" hidden="1" customHeight="1" x14ac:dyDescent="0.25">
      <c r="A396" s="897" t="str">
        <f>A378</f>
        <v>802112О.99.0.ББ11АА00001</v>
      </c>
      <c r="B396" s="846"/>
      <c r="C396" s="8"/>
      <c r="D396" s="8"/>
      <c r="E396" s="8"/>
      <c r="F396" s="8" t="s">
        <v>75</v>
      </c>
      <c r="G396" s="8"/>
      <c r="H396" s="10" t="s">
        <v>77</v>
      </c>
      <c r="I396" s="9" t="s">
        <v>78</v>
      </c>
      <c r="J396" s="8">
        <v>792</v>
      </c>
      <c r="K396" s="8">
        <f>'проверка 2020'!N4</f>
        <v>0</v>
      </c>
      <c r="L396" s="8">
        <f>'проверка 2021'!N4</f>
        <v>0</v>
      </c>
      <c r="M396" s="8">
        <f>'проверка 2022'!N4</f>
        <v>0</v>
      </c>
      <c r="N396" s="8"/>
      <c r="O396" s="8"/>
      <c r="P396" s="8"/>
      <c r="Q396" s="649">
        <v>0.05</v>
      </c>
      <c r="R396" s="1"/>
    </row>
    <row r="397" spans="1:21" ht="21" hidden="1" x14ac:dyDescent="0.25">
      <c r="A397" s="897">
        <f>A379</f>
        <v>0</v>
      </c>
      <c r="B397" s="846"/>
      <c r="C397" s="8"/>
      <c r="D397" s="8"/>
      <c r="E397" s="8"/>
      <c r="F397" s="10" t="s">
        <v>76</v>
      </c>
      <c r="G397" s="8"/>
      <c r="H397" s="10" t="s">
        <v>77</v>
      </c>
      <c r="I397" s="9" t="s">
        <v>78</v>
      </c>
      <c r="J397" s="8">
        <v>792</v>
      </c>
      <c r="K397" s="8"/>
      <c r="L397" s="8"/>
      <c r="M397" s="8"/>
      <c r="N397" s="8"/>
      <c r="O397" s="9"/>
      <c r="P397" s="9"/>
      <c r="Q397" s="717"/>
      <c r="R397" s="1"/>
    </row>
    <row r="398" spans="1:21" ht="13.9" hidden="1" x14ac:dyDescent="0.25">
      <c r="A398" s="9"/>
      <c r="B398" s="9"/>
      <c r="C398" s="8"/>
      <c r="D398" s="8"/>
      <c r="E398" s="8"/>
      <c r="F398" s="8"/>
      <c r="G398" s="8"/>
      <c r="H398" s="9"/>
      <c r="I398" s="9"/>
      <c r="J398" s="8"/>
      <c r="K398" s="8"/>
      <c r="L398" s="8"/>
      <c r="M398" s="8"/>
      <c r="N398" s="8"/>
      <c r="O398" s="193"/>
      <c r="P398" s="194"/>
    </row>
    <row r="399" spans="1:21" ht="13.9" hidden="1" x14ac:dyDescent="0.25">
      <c r="A399" s="3"/>
      <c r="B399" s="3"/>
      <c r="C399" s="1"/>
      <c r="D399" s="1"/>
      <c r="E399" s="1"/>
      <c r="F399" s="1"/>
      <c r="G399" s="1"/>
      <c r="H399" s="3"/>
      <c r="I399" s="3"/>
      <c r="J399" s="1"/>
      <c r="K399" s="1"/>
      <c r="L399" s="1"/>
      <c r="M399" s="1"/>
      <c r="N399" s="1"/>
      <c r="O399" s="195"/>
      <c r="P399" s="196"/>
    </row>
    <row r="400" spans="1:21" ht="13.9" hidden="1" x14ac:dyDescent="0.25">
      <c r="A400" s="3"/>
      <c r="B400" s="3"/>
      <c r="C400" s="1"/>
      <c r="D400" s="1"/>
      <c r="E400" s="1"/>
      <c r="F400" s="1"/>
      <c r="G400" s="1"/>
      <c r="H400" s="3"/>
      <c r="I400" s="3"/>
      <c r="J400" s="1"/>
      <c r="K400" s="1"/>
      <c r="L400" s="1"/>
      <c r="M400" s="1"/>
      <c r="N400" s="1"/>
      <c r="O400" s="195"/>
      <c r="P400" s="196"/>
    </row>
    <row r="401" spans="1:16" ht="13.9" hidden="1" x14ac:dyDescent="0.25">
      <c r="A401" s="3"/>
      <c r="B401" s="3"/>
      <c r="C401" s="1"/>
      <c r="D401" s="1"/>
      <c r="E401" s="1"/>
      <c r="F401" s="1"/>
      <c r="G401" s="1"/>
      <c r="H401" s="3"/>
      <c r="I401" s="3"/>
      <c r="J401" s="1"/>
      <c r="K401" s="1"/>
      <c r="L401" s="1"/>
      <c r="M401" s="1"/>
      <c r="N401" s="1"/>
      <c r="O401" s="195"/>
      <c r="P401" s="196"/>
    </row>
    <row r="402" spans="1:16" ht="13.9" hidden="1" x14ac:dyDescent="0.25">
      <c r="A402" s="3"/>
      <c r="B402" s="3"/>
      <c r="C402" s="1"/>
      <c r="D402" s="1"/>
      <c r="E402" s="1"/>
      <c r="F402" s="1"/>
      <c r="G402" s="1"/>
      <c r="H402" s="3"/>
      <c r="I402" s="3"/>
      <c r="J402" s="1"/>
      <c r="K402" s="1"/>
      <c r="L402" s="1"/>
      <c r="M402" s="1"/>
      <c r="N402" s="1"/>
      <c r="O402" s="195"/>
      <c r="P402" s="196"/>
    </row>
    <row r="403" spans="1:16" ht="13.9" hidden="1" x14ac:dyDescent="0.25">
      <c r="A403" s="3"/>
      <c r="B403" s="3"/>
      <c r="C403" s="1"/>
      <c r="D403" s="1"/>
      <c r="E403" s="1"/>
      <c r="F403" s="1"/>
      <c r="G403" s="1"/>
      <c r="H403" s="3"/>
      <c r="I403" s="3"/>
      <c r="J403" s="1"/>
      <c r="K403" s="1"/>
      <c r="L403" s="1"/>
      <c r="M403" s="1"/>
      <c r="N403" s="1"/>
      <c r="O403" s="195"/>
      <c r="P403" s="196"/>
    </row>
    <row r="404" spans="1:16" ht="6" hidden="1" customHeight="1" x14ac:dyDescent="0.25"/>
    <row r="405" spans="1:16" hidden="1" x14ac:dyDescent="0.25">
      <c r="A405" s="4" t="s">
        <v>32</v>
      </c>
    </row>
    <row r="406" spans="1:16" hidden="1" x14ac:dyDescent="0.25">
      <c r="A406" s="4" t="s">
        <v>28</v>
      </c>
      <c r="C406" s="822"/>
      <c r="D406" s="822"/>
    </row>
    <row r="407" spans="1:16" ht="6" hidden="1" customHeight="1" x14ac:dyDescent="0.25">
      <c r="D407" s="192"/>
    </row>
    <row r="408" spans="1:16" hidden="1" x14ac:dyDescent="0.25">
      <c r="A408" s="4" t="s">
        <v>38</v>
      </c>
    </row>
    <row r="409" spans="1:16" ht="8.25" hidden="1" customHeight="1" x14ac:dyDescent="0.25"/>
    <row r="410" spans="1:16" hidden="1" x14ac:dyDescent="0.25">
      <c r="A410" s="822" t="s">
        <v>43</v>
      </c>
      <c r="B410" s="822"/>
      <c r="C410" s="822"/>
      <c r="D410" s="822"/>
      <c r="E410" s="822"/>
      <c r="F410" s="822"/>
      <c r="G410" s="822"/>
      <c r="H410" s="822"/>
      <c r="I410" s="822"/>
      <c r="J410" s="822"/>
      <c r="K410" s="822"/>
      <c r="L410" s="822"/>
      <c r="M410" s="822"/>
      <c r="N410" s="822"/>
      <c r="O410" s="822"/>
      <c r="P410" s="822"/>
    </row>
    <row r="411" spans="1:16" hidden="1" x14ac:dyDescent="0.25">
      <c r="A411" s="713" t="s">
        <v>39</v>
      </c>
      <c r="B411" s="822" t="s">
        <v>40</v>
      </c>
      <c r="C411" s="822"/>
      <c r="D411" s="822"/>
      <c r="E411" s="713" t="s">
        <v>41</v>
      </c>
      <c r="F411" s="713" t="s">
        <v>42</v>
      </c>
      <c r="G411" s="822" t="s">
        <v>25</v>
      </c>
      <c r="H411" s="822"/>
      <c r="I411" s="822"/>
      <c r="J411" s="822"/>
      <c r="K411" s="822"/>
      <c r="L411" s="822"/>
      <c r="M411" s="822"/>
      <c r="N411" s="822"/>
      <c r="O411" s="822"/>
      <c r="P411" s="822"/>
    </row>
    <row r="412" spans="1:16" s="198" customFormat="1" ht="7.5" hidden="1" x14ac:dyDescent="0.15">
      <c r="A412" s="716">
        <v>1</v>
      </c>
      <c r="B412" s="893">
        <v>2</v>
      </c>
      <c r="C412" s="893"/>
      <c r="D412" s="893"/>
      <c r="E412" s="716">
        <v>3</v>
      </c>
      <c r="F412" s="716">
        <v>4</v>
      </c>
      <c r="G412" s="893">
        <v>5</v>
      </c>
      <c r="H412" s="893"/>
      <c r="I412" s="893"/>
      <c r="J412" s="893"/>
      <c r="K412" s="893"/>
      <c r="L412" s="893"/>
      <c r="M412" s="893"/>
      <c r="N412" s="893"/>
      <c r="O412" s="893"/>
      <c r="P412" s="893"/>
    </row>
    <row r="413" spans="1:16" s="756" customFormat="1" ht="33" hidden="1" customHeight="1" x14ac:dyDescent="0.2">
      <c r="A413" s="734" t="s">
        <v>243</v>
      </c>
      <c r="B413" s="829" t="s">
        <v>244</v>
      </c>
      <c r="C413" s="830"/>
      <c r="D413" s="831"/>
      <c r="E413" s="755">
        <v>43306</v>
      </c>
      <c r="F413" s="734">
        <v>129</v>
      </c>
      <c r="G413" s="832" t="s">
        <v>558</v>
      </c>
      <c r="H413" s="833"/>
      <c r="I413" s="833"/>
      <c r="J413" s="833"/>
      <c r="K413" s="833"/>
      <c r="L413" s="833"/>
      <c r="M413" s="833"/>
      <c r="N413" s="833"/>
      <c r="O413" s="833"/>
      <c r="P413" s="834"/>
    </row>
    <row r="414" spans="1:16" s="188" customFormat="1" ht="35.25" hidden="1" customHeight="1" x14ac:dyDescent="0.2">
      <c r="A414" s="8" t="s">
        <v>456</v>
      </c>
      <c r="B414" s="894" t="s">
        <v>457</v>
      </c>
      <c r="C414" s="894"/>
      <c r="D414" s="894"/>
      <c r="E414" s="197">
        <v>43822</v>
      </c>
      <c r="F414" s="725" t="s">
        <v>573</v>
      </c>
      <c r="G414" s="895" t="s">
        <v>572</v>
      </c>
      <c r="H414" s="895"/>
      <c r="I414" s="895"/>
      <c r="J414" s="895"/>
      <c r="K414" s="895"/>
      <c r="L414" s="895"/>
      <c r="M414" s="895"/>
      <c r="N414" s="895"/>
      <c r="O414" s="895"/>
      <c r="P414" s="895"/>
    </row>
    <row r="415" spans="1:16" s="188" customFormat="1" ht="35.25" hidden="1" customHeight="1" x14ac:dyDescent="0.2">
      <c r="A415" s="8" t="s">
        <v>456</v>
      </c>
      <c r="B415" s="894" t="s">
        <v>457</v>
      </c>
      <c r="C415" s="894"/>
      <c r="D415" s="894"/>
      <c r="E415" s="197">
        <v>43600</v>
      </c>
      <c r="F415" s="730" t="s">
        <v>560</v>
      </c>
      <c r="G415" s="880" t="s">
        <v>559</v>
      </c>
      <c r="H415" s="896"/>
      <c r="I415" s="896"/>
      <c r="J415" s="896"/>
      <c r="K415" s="896"/>
      <c r="L415" s="896"/>
      <c r="M415" s="896"/>
      <c r="N415" s="896"/>
      <c r="O415" s="896"/>
      <c r="P415" s="881"/>
    </row>
    <row r="416" spans="1:16" s="188" customFormat="1" ht="10.15" hidden="1" x14ac:dyDescent="0.2">
      <c r="A416" s="8"/>
      <c r="B416" s="827"/>
      <c r="C416" s="827"/>
      <c r="D416" s="827"/>
      <c r="E416" s="8"/>
      <c r="F416" s="8"/>
      <c r="G416" s="843"/>
      <c r="H416" s="843"/>
      <c r="I416" s="843"/>
      <c r="J416" s="843"/>
      <c r="K416" s="843"/>
      <c r="L416" s="843"/>
      <c r="M416" s="843"/>
      <c r="N416" s="843"/>
      <c r="O416" s="843"/>
      <c r="P416" s="843"/>
    </row>
    <row r="417" spans="1:16" ht="5.25" hidden="1" customHeight="1" x14ac:dyDescent="0.25"/>
    <row r="418" spans="1:16" hidden="1" x14ac:dyDescent="0.25">
      <c r="A418" s="4" t="s">
        <v>44</v>
      </c>
    </row>
    <row r="419" spans="1:16" ht="3" hidden="1" customHeight="1" x14ac:dyDescent="0.25"/>
    <row r="420" spans="1:16" hidden="1" x14ac:dyDescent="0.25">
      <c r="A420" s="4" t="s">
        <v>45</v>
      </c>
    </row>
    <row r="421" spans="1:16" ht="98.25" hidden="1" customHeight="1" x14ac:dyDescent="0.25">
      <c r="A421" s="860" t="s">
        <v>327</v>
      </c>
      <c r="B421" s="860"/>
      <c r="C421" s="860"/>
      <c r="D421" s="860"/>
      <c r="E421" s="860"/>
      <c r="F421" s="860"/>
      <c r="G421" s="860"/>
      <c r="H421" s="860"/>
      <c r="I421" s="860"/>
      <c r="J421" s="860"/>
      <c r="K421" s="860"/>
      <c r="L421" s="860"/>
      <c r="M421" s="860"/>
      <c r="N421" s="860"/>
      <c r="O421" s="860"/>
      <c r="P421" s="860"/>
    </row>
    <row r="422" spans="1:16" hidden="1" x14ac:dyDescent="0.25">
      <c r="A422" s="892" t="s">
        <v>46</v>
      </c>
      <c r="B422" s="892"/>
      <c r="C422" s="892"/>
      <c r="D422" s="892"/>
      <c r="E422" s="892"/>
      <c r="F422" s="892"/>
      <c r="G422" s="892"/>
      <c r="H422" s="892"/>
      <c r="I422" s="892"/>
      <c r="J422" s="892"/>
      <c r="K422" s="892"/>
      <c r="L422" s="892"/>
    </row>
    <row r="423" spans="1:16" ht="3.75" hidden="1" customHeight="1" x14ac:dyDescent="0.25"/>
    <row r="424" spans="1:16" hidden="1" x14ac:dyDescent="0.25">
      <c r="A424" s="4" t="s">
        <v>47</v>
      </c>
    </row>
    <row r="425" spans="1:16" hidden="1" x14ac:dyDescent="0.25"/>
    <row r="426" spans="1:16" ht="10.5" hidden="1" customHeight="1" x14ac:dyDescent="0.25">
      <c r="A426" s="822" t="s">
        <v>48</v>
      </c>
      <c r="B426" s="822"/>
      <c r="C426" s="822"/>
      <c r="D426" s="822" t="s">
        <v>49</v>
      </c>
      <c r="E426" s="822"/>
      <c r="F426" s="822"/>
      <c r="G426" s="822"/>
      <c r="H426" s="822" t="s">
        <v>50</v>
      </c>
      <c r="I426" s="822"/>
      <c r="J426" s="822"/>
      <c r="K426" s="822"/>
    </row>
    <row r="427" spans="1:16" s="198" customFormat="1" ht="6.6" hidden="1" x14ac:dyDescent="0.15">
      <c r="A427" s="893">
        <v>1</v>
      </c>
      <c r="B427" s="893"/>
      <c r="C427" s="893"/>
      <c r="D427" s="893">
        <v>2</v>
      </c>
      <c r="E427" s="893"/>
      <c r="F427" s="893"/>
      <c r="G427" s="893"/>
      <c r="H427" s="893">
        <v>3</v>
      </c>
      <c r="I427" s="893"/>
      <c r="J427" s="893"/>
      <c r="K427" s="893"/>
    </row>
    <row r="428" spans="1:16" ht="357.6" hidden="1" customHeight="1" x14ac:dyDescent="0.25">
      <c r="A428" s="889" t="s">
        <v>251</v>
      </c>
      <c r="B428" s="890"/>
      <c r="C428" s="891"/>
      <c r="D428" s="809" t="s">
        <v>322</v>
      </c>
      <c r="E428" s="810"/>
      <c r="F428" s="810"/>
      <c r="G428" s="811"/>
      <c r="H428" s="806" t="s">
        <v>323</v>
      </c>
      <c r="I428" s="807"/>
      <c r="J428" s="807"/>
      <c r="K428" s="808"/>
    </row>
    <row r="429" spans="1:16" hidden="1" x14ac:dyDescent="0.25">
      <c r="A429" s="817" t="s">
        <v>543</v>
      </c>
      <c r="B429" s="817"/>
      <c r="C429" s="817"/>
      <c r="D429" s="817"/>
      <c r="E429" s="817"/>
      <c r="F429" s="817"/>
      <c r="G429" s="817"/>
      <c r="H429" s="817"/>
      <c r="I429" s="817"/>
      <c r="J429" s="817"/>
      <c r="K429" s="817"/>
      <c r="L429" s="817"/>
      <c r="M429" s="817"/>
      <c r="N429" s="817"/>
      <c r="O429" s="817"/>
      <c r="P429" s="817"/>
    </row>
    <row r="430" spans="1:16" ht="7.5" hidden="1" customHeight="1" x14ac:dyDescent="0.25"/>
    <row r="431" spans="1:16" hidden="1" x14ac:dyDescent="0.25">
      <c r="A431" s="4" t="s">
        <v>11</v>
      </c>
      <c r="E431" s="887" t="s">
        <v>330</v>
      </c>
      <c r="F431" s="887"/>
      <c r="G431" s="887"/>
      <c r="H431" s="887"/>
      <c r="I431" s="887"/>
      <c r="J431" s="887"/>
      <c r="K431" s="887"/>
      <c r="L431" s="887"/>
      <c r="M431" s="854" t="s">
        <v>314</v>
      </c>
      <c r="N431" s="855"/>
      <c r="O431" s="822" t="s">
        <v>539</v>
      </c>
      <c r="P431" s="822"/>
    </row>
    <row r="432" spans="1:16" hidden="1" x14ac:dyDescent="0.25">
      <c r="A432" s="886"/>
      <c r="B432" s="886"/>
      <c r="C432" s="886"/>
      <c r="D432" s="886"/>
      <c r="E432" s="886"/>
      <c r="F432" s="886"/>
      <c r="G432" s="886"/>
      <c r="H432" s="886"/>
      <c r="I432" s="886"/>
      <c r="J432" s="886"/>
      <c r="K432" s="886"/>
      <c r="L432" s="886"/>
      <c r="M432" s="854"/>
      <c r="N432" s="855"/>
      <c r="O432" s="822"/>
      <c r="P432" s="822"/>
    </row>
    <row r="433" spans="1:18" ht="23.25" hidden="1" customHeight="1" x14ac:dyDescent="0.25">
      <c r="A433" s="4" t="s">
        <v>12</v>
      </c>
      <c r="M433" s="854"/>
      <c r="N433" s="855"/>
      <c r="O433" s="822"/>
      <c r="P433" s="822"/>
    </row>
    <row r="434" spans="1:18" ht="15.75" hidden="1" customHeight="1" x14ac:dyDescent="0.25">
      <c r="A434" s="884" t="s">
        <v>331</v>
      </c>
      <c r="B434" s="884"/>
      <c r="C434" s="884"/>
      <c r="D434" s="884"/>
      <c r="E434" s="884"/>
      <c r="F434" s="884"/>
      <c r="G434" s="884"/>
      <c r="H434" s="884"/>
      <c r="I434" s="884"/>
      <c r="J434" s="884"/>
      <c r="K434" s="884"/>
      <c r="L434" s="884"/>
      <c r="M434" s="884"/>
      <c r="N434" s="884"/>
    </row>
    <row r="435" spans="1:18" ht="4.5" hidden="1" customHeight="1" x14ac:dyDescent="0.25">
      <c r="A435" s="619"/>
      <c r="B435" s="619"/>
      <c r="C435" s="619"/>
      <c r="D435" s="619"/>
      <c r="E435" s="619"/>
      <c r="F435" s="619"/>
      <c r="G435" s="619"/>
      <c r="H435" s="619"/>
      <c r="I435" s="619"/>
      <c r="J435" s="619"/>
      <c r="K435" s="619"/>
      <c r="L435" s="619"/>
      <c r="M435" s="619"/>
      <c r="N435" s="619"/>
    </row>
    <row r="436" spans="1:18" hidden="1" x14ac:dyDescent="0.25">
      <c r="A436" s="4" t="s">
        <v>13</v>
      </c>
    </row>
    <row r="437" spans="1:18" ht="5.25" hidden="1" customHeight="1" x14ac:dyDescent="0.25"/>
    <row r="438" spans="1:18" hidden="1" x14ac:dyDescent="0.25">
      <c r="A438" s="4" t="s">
        <v>332</v>
      </c>
    </row>
    <row r="439" spans="1:18" ht="7.5" hidden="1" customHeight="1" x14ac:dyDescent="0.25"/>
    <row r="440" spans="1:18" s="708" customFormat="1" ht="49.9" hidden="1" customHeight="1" x14ac:dyDescent="0.25">
      <c r="A440" s="791" t="s">
        <v>517</v>
      </c>
      <c r="B440" s="791"/>
      <c r="C440" s="792" t="s">
        <v>333</v>
      </c>
      <c r="D440" s="793"/>
      <c r="E440" s="794"/>
      <c r="F440" s="791" t="s">
        <v>334</v>
      </c>
      <c r="G440" s="791"/>
      <c r="H440" s="795" t="s">
        <v>21</v>
      </c>
      <c r="I440" s="795"/>
      <c r="J440" s="795"/>
      <c r="K440" s="795"/>
      <c r="L440" s="795"/>
      <c r="M440" s="796" t="s">
        <v>22</v>
      </c>
      <c r="N440" s="797"/>
      <c r="O440" s="798"/>
      <c r="P440" s="799" t="s">
        <v>335</v>
      </c>
      <c r="Q440" s="799"/>
      <c r="R440" s="720"/>
    </row>
    <row r="441" spans="1:18" s="709" customFormat="1" ht="24.75" hidden="1" customHeight="1" x14ac:dyDescent="0.2">
      <c r="A441" s="791"/>
      <c r="B441" s="791"/>
      <c r="C441" s="791" t="s">
        <v>518</v>
      </c>
      <c r="D441" s="791" t="s">
        <v>518</v>
      </c>
      <c r="E441" s="791" t="s">
        <v>518</v>
      </c>
      <c r="F441" s="791" t="s">
        <v>518</v>
      </c>
      <c r="G441" s="791" t="s">
        <v>518</v>
      </c>
      <c r="H441" s="795" t="s">
        <v>519</v>
      </c>
      <c r="I441" s="795"/>
      <c r="J441" s="795" t="s">
        <v>336</v>
      </c>
      <c r="K441" s="795"/>
      <c r="L441" s="795"/>
      <c r="M441" s="800" t="s">
        <v>561</v>
      </c>
      <c r="N441" s="800" t="s">
        <v>562</v>
      </c>
      <c r="O441" s="800" t="s">
        <v>563</v>
      </c>
      <c r="P441" s="799" t="s">
        <v>316</v>
      </c>
      <c r="Q441" s="802" t="s">
        <v>317</v>
      </c>
      <c r="R441" s="721"/>
    </row>
    <row r="442" spans="1:18" s="709" customFormat="1" ht="19.899999999999999" hidden="1" customHeight="1" x14ac:dyDescent="0.2">
      <c r="A442" s="791"/>
      <c r="B442" s="791"/>
      <c r="C442" s="791"/>
      <c r="D442" s="791"/>
      <c r="E442" s="791"/>
      <c r="F442" s="791"/>
      <c r="G442" s="791"/>
      <c r="H442" s="795"/>
      <c r="I442" s="795"/>
      <c r="J442" s="769" t="s">
        <v>520</v>
      </c>
      <c r="K442" s="770"/>
      <c r="L442" s="722" t="s">
        <v>521</v>
      </c>
      <c r="M442" s="801"/>
      <c r="N442" s="801"/>
      <c r="O442" s="801"/>
      <c r="P442" s="799"/>
      <c r="Q442" s="803"/>
      <c r="R442" s="721"/>
    </row>
    <row r="443" spans="1:18" s="708" customFormat="1" ht="11.25" hidden="1" customHeight="1" x14ac:dyDescent="0.25">
      <c r="A443" s="767">
        <v>1</v>
      </c>
      <c r="B443" s="767"/>
      <c r="C443" s="710">
        <v>2</v>
      </c>
      <c r="D443" s="710">
        <v>3</v>
      </c>
      <c r="E443" s="710">
        <v>4</v>
      </c>
      <c r="F443" s="710">
        <v>5</v>
      </c>
      <c r="G443" s="710">
        <v>6</v>
      </c>
      <c r="H443" s="768">
        <v>7</v>
      </c>
      <c r="I443" s="768"/>
      <c r="J443" s="769">
        <v>8</v>
      </c>
      <c r="K443" s="770"/>
      <c r="L443" s="723">
        <v>9</v>
      </c>
      <c r="M443" s="723">
        <v>10</v>
      </c>
      <c r="N443" s="723">
        <v>11</v>
      </c>
      <c r="O443" s="723">
        <v>12</v>
      </c>
      <c r="P443" s="723">
        <v>13</v>
      </c>
      <c r="Q443" s="723">
        <v>14</v>
      </c>
      <c r="R443" s="720"/>
    </row>
    <row r="444" spans="1:18" s="708" customFormat="1" ht="36" hidden="1" customHeight="1" x14ac:dyDescent="0.25">
      <c r="A444" s="771" t="s">
        <v>503</v>
      </c>
      <c r="B444" s="772"/>
      <c r="C444" s="777"/>
      <c r="D444" s="777"/>
      <c r="E444" s="777"/>
      <c r="F444" s="780" t="s">
        <v>75</v>
      </c>
      <c r="G444" s="777"/>
      <c r="H444" s="783" t="s">
        <v>522</v>
      </c>
      <c r="I444" s="784"/>
      <c r="J444" s="785" t="s">
        <v>82</v>
      </c>
      <c r="K444" s="786"/>
      <c r="L444" s="762">
        <v>744</v>
      </c>
      <c r="M444" s="724" t="s">
        <v>523</v>
      </c>
      <c r="N444" s="724" t="s">
        <v>523</v>
      </c>
      <c r="O444" s="724" t="s">
        <v>523</v>
      </c>
      <c r="P444" s="725"/>
      <c r="Q444" s="726"/>
      <c r="R444" s="720"/>
    </row>
    <row r="445" spans="1:18" s="708" customFormat="1" ht="16.5" hidden="1" customHeight="1" x14ac:dyDescent="0.25">
      <c r="A445" s="773"/>
      <c r="B445" s="774"/>
      <c r="C445" s="778"/>
      <c r="D445" s="778"/>
      <c r="E445" s="778"/>
      <c r="F445" s="781"/>
      <c r="G445" s="778"/>
      <c r="H445" s="765" t="s">
        <v>524</v>
      </c>
      <c r="I445" s="766"/>
      <c r="J445" s="787"/>
      <c r="K445" s="788"/>
      <c r="L445" s="763"/>
      <c r="M445" s="190" t="s">
        <v>525</v>
      </c>
      <c r="N445" s="190" t="s">
        <v>525</v>
      </c>
      <c r="O445" s="190" t="s">
        <v>525</v>
      </c>
      <c r="P445" s="725"/>
      <c r="Q445" s="726"/>
      <c r="R445" s="720"/>
    </row>
    <row r="446" spans="1:18" s="708" customFormat="1" hidden="1" x14ac:dyDescent="0.25">
      <c r="A446" s="775"/>
      <c r="B446" s="776"/>
      <c r="C446" s="779"/>
      <c r="D446" s="779"/>
      <c r="E446" s="779"/>
      <c r="F446" s="782"/>
      <c r="G446" s="779"/>
      <c r="H446" s="765" t="s">
        <v>526</v>
      </c>
      <c r="I446" s="766"/>
      <c r="J446" s="789"/>
      <c r="K446" s="790"/>
      <c r="L446" s="764"/>
      <c r="M446" s="190" t="s">
        <v>525</v>
      </c>
      <c r="N446" s="190" t="s">
        <v>525</v>
      </c>
      <c r="O446" s="190" t="s">
        <v>525</v>
      </c>
      <c r="P446" s="727"/>
      <c r="Q446" s="728"/>
      <c r="R446" s="720"/>
    </row>
    <row r="447" spans="1:18" ht="16.5" hidden="1" customHeight="1" x14ac:dyDescent="0.3">
      <c r="A447" s="707"/>
      <c r="B447" s="707"/>
      <c r="C447" s="8"/>
      <c r="D447" s="8"/>
      <c r="E447" s="8"/>
      <c r="F447" s="10"/>
      <c r="G447" s="8"/>
      <c r="H447" s="850"/>
      <c r="I447" s="851"/>
      <c r="J447" s="852"/>
      <c r="K447" s="853"/>
      <c r="L447" s="729"/>
      <c r="M447" s="730"/>
      <c r="N447" s="730"/>
      <c r="O447" s="725"/>
      <c r="P447" s="725"/>
      <c r="Q447" s="726"/>
      <c r="R447" s="731"/>
    </row>
    <row r="448" spans="1:18" ht="13.9" hidden="1" x14ac:dyDescent="0.25">
      <c r="A448" s="824"/>
      <c r="B448" s="826"/>
      <c r="C448" s="1"/>
      <c r="D448" s="1"/>
      <c r="E448" s="1"/>
      <c r="F448" s="1"/>
      <c r="G448" s="1"/>
      <c r="H448" s="848"/>
      <c r="I448" s="849"/>
      <c r="J448" s="848"/>
      <c r="K448" s="849"/>
      <c r="L448" s="726"/>
      <c r="M448" s="726"/>
      <c r="N448" s="726"/>
      <c r="O448" s="848"/>
      <c r="P448" s="888"/>
      <c r="Q448" s="731"/>
      <c r="R448" s="731"/>
    </row>
    <row r="449" spans="1:18" ht="13.9" hidden="1" x14ac:dyDescent="0.25">
      <c r="A449" s="824"/>
      <c r="B449" s="826"/>
      <c r="C449" s="1"/>
      <c r="D449" s="1"/>
      <c r="E449" s="1"/>
      <c r="F449" s="1"/>
      <c r="G449" s="1"/>
      <c r="H449" s="848"/>
      <c r="I449" s="849"/>
      <c r="J449" s="848"/>
      <c r="K449" s="849"/>
      <c r="L449" s="726"/>
      <c r="M449" s="726"/>
      <c r="N449" s="726"/>
      <c r="O449" s="848"/>
      <c r="P449" s="849"/>
      <c r="Q449" s="731"/>
      <c r="R449" s="731"/>
    </row>
    <row r="450" spans="1:18" ht="13.9" hidden="1" x14ac:dyDescent="0.25">
      <c r="A450" s="824"/>
      <c r="B450" s="826"/>
      <c r="C450" s="1"/>
      <c r="D450" s="1"/>
      <c r="E450" s="1"/>
      <c r="F450" s="1"/>
      <c r="G450" s="1"/>
      <c r="H450" s="848"/>
      <c r="I450" s="849"/>
      <c r="J450" s="848"/>
      <c r="K450" s="849"/>
      <c r="L450" s="726"/>
      <c r="M450" s="726"/>
      <c r="N450" s="726"/>
      <c r="O450" s="848"/>
      <c r="P450" s="849"/>
      <c r="Q450" s="731"/>
      <c r="R450" s="731"/>
    </row>
    <row r="451" spans="1:18" ht="13.9" hidden="1" x14ac:dyDescent="0.25">
      <c r="A451" s="824"/>
      <c r="B451" s="826"/>
      <c r="C451" s="1"/>
      <c r="D451" s="1"/>
      <c r="E451" s="1"/>
      <c r="F451" s="1"/>
      <c r="G451" s="1"/>
      <c r="H451" s="848"/>
      <c r="I451" s="849"/>
      <c r="J451" s="848"/>
      <c r="K451" s="849"/>
      <c r="L451" s="726"/>
      <c r="M451" s="726"/>
      <c r="N451" s="726"/>
      <c r="O451" s="848"/>
      <c r="P451" s="849"/>
      <c r="Q451" s="731"/>
      <c r="R451" s="731"/>
    </row>
    <row r="452" spans="1:18" ht="13.9" hidden="1" x14ac:dyDescent="0.25">
      <c r="A452" s="824"/>
      <c r="B452" s="826"/>
      <c r="C452" s="1"/>
      <c r="D452" s="1"/>
      <c r="E452" s="1"/>
      <c r="F452" s="1"/>
      <c r="G452" s="1"/>
      <c r="H452" s="848"/>
      <c r="I452" s="849"/>
      <c r="J452" s="848"/>
      <c r="K452" s="849"/>
      <c r="L452" s="726"/>
      <c r="M452" s="726"/>
      <c r="N452" s="726"/>
      <c r="O452" s="848"/>
      <c r="P452" s="849"/>
      <c r="Q452" s="731"/>
      <c r="R452" s="731"/>
    </row>
    <row r="453" spans="1:18" ht="13.9" hidden="1" x14ac:dyDescent="0.25">
      <c r="A453" s="824"/>
      <c r="B453" s="826"/>
      <c r="C453" s="1"/>
      <c r="D453" s="1"/>
      <c r="E453" s="1"/>
      <c r="F453" s="1"/>
      <c r="G453" s="1"/>
      <c r="H453" s="848"/>
      <c r="I453" s="849"/>
      <c r="J453" s="848"/>
      <c r="K453" s="849"/>
      <c r="L453" s="726"/>
      <c r="M453" s="726"/>
      <c r="N453" s="726"/>
      <c r="O453" s="848"/>
      <c r="P453" s="849"/>
      <c r="Q453" s="731"/>
      <c r="R453" s="731"/>
    </row>
    <row r="454" spans="1:18" ht="7.5" hidden="1" customHeight="1" x14ac:dyDescent="0.25">
      <c r="H454" s="731"/>
      <c r="I454" s="731"/>
      <c r="J454" s="731"/>
      <c r="K454" s="731"/>
      <c r="L454" s="731"/>
      <c r="M454" s="731"/>
      <c r="N454" s="731"/>
      <c r="O454" s="731"/>
      <c r="P454" s="731"/>
      <c r="Q454" s="731"/>
      <c r="R454" s="731"/>
    </row>
    <row r="455" spans="1:18" s="337" customFormat="1" ht="13.9" hidden="1" x14ac:dyDescent="0.25">
      <c r="H455" s="732"/>
      <c r="I455" s="732"/>
      <c r="J455" s="732"/>
      <c r="K455" s="732"/>
      <c r="L455" s="732"/>
      <c r="M455" s="732"/>
      <c r="N455" s="732"/>
      <c r="O455" s="732"/>
      <c r="P455" s="732"/>
      <c r="Q455" s="732"/>
      <c r="R455" s="732"/>
    </row>
    <row r="456" spans="1:18" s="337" customFormat="1" ht="11.25" hidden="1" customHeight="1" x14ac:dyDescent="0.25">
      <c r="C456" s="847"/>
      <c r="D456" s="847"/>
      <c r="H456" s="732"/>
      <c r="I456" s="732"/>
      <c r="J456" s="732"/>
      <c r="K456" s="732"/>
      <c r="L456" s="732"/>
      <c r="M456" s="732"/>
      <c r="N456" s="732"/>
      <c r="O456" s="732"/>
      <c r="P456" s="732"/>
      <c r="Q456" s="732"/>
      <c r="R456" s="732"/>
    </row>
    <row r="457" spans="1:18" ht="6.75" hidden="1" customHeight="1" x14ac:dyDescent="0.25">
      <c r="D457" s="619"/>
      <c r="H457" s="731"/>
      <c r="I457" s="731"/>
      <c r="J457" s="731"/>
      <c r="K457" s="731"/>
      <c r="L457" s="731"/>
      <c r="M457" s="731"/>
      <c r="N457" s="731"/>
      <c r="O457" s="731"/>
      <c r="P457" s="731"/>
      <c r="Q457" s="731"/>
      <c r="R457" s="731"/>
    </row>
    <row r="458" spans="1:18" ht="11.25" hidden="1" customHeight="1" x14ac:dyDescent="0.25">
      <c r="A458" s="4" t="s">
        <v>37</v>
      </c>
      <c r="H458" s="731"/>
      <c r="I458" s="731"/>
      <c r="J458" s="731"/>
      <c r="K458" s="731"/>
      <c r="L458" s="731"/>
      <c r="M458" s="731"/>
      <c r="N458" s="731"/>
      <c r="O458" s="731"/>
      <c r="P458" s="731"/>
      <c r="Q458" s="731"/>
      <c r="R458" s="731"/>
    </row>
    <row r="459" spans="1:18" ht="5.25" hidden="1" customHeight="1" x14ac:dyDescent="0.25">
      <c r="H459" s="731"/>
      <c r="I459" s="731"/>
      <c r="J459" s="731"/>
      <c r="K459" s="731"/>
      <c r="L459" s="731"/>
      <c r="M459" s="731"/>
      <c r="N459" s="731"/>
      <c r="O459" s="731"/>
      <c r="P459" s="731"/>
      <c r="Q459" s="731"/>
      <c r="R459" s="731"/>
    </row>
    <row r="460" spans="1:18" ht="52.15" hidden="1" customHeight="1" x14ac:dyDescent="0.25">
      <c r="A460" s="812" t="s">
        <v>17</v>
      </c>
      <c r="B460" s="812"/>
      <c r="C460" s="837" t="s">
        <v>333</v>
      </c>
      <c r="D460" s="838"/>
      <c r="E460" s="839"/>
      <c r="F460" s="812" t="s">
        <v>334</v>
      </c>
      <c r="G460" s="812"/>
      <c r="H460" s="799" t="s">
        <v>29</v>
      </c>
      <c r="I460" s="799"/>
      <c r="J460" s="799"/>
      <c r="K460" s="799" t="s">
        <v>30</v>
      </c>
      <c r="L460" s="799"/>
      <c r="M460" s="799"/>
      <c r="N460" s="830" t="s">
        <v>337</v>
      </c>
      <c r="O460" s="830"/>
      <c r="P460" s="831"/>
      <c r="Q460" s="799" t="s">
        <v>338</v>
      </c>
      <c r="R460" s="799"/>
    </row>
    <row r="461" spans="1:18" ht="42" hidden="1" customHeight="1" x14ac:dyDescent="0.25">
      <c r="A461" s="812"/>
      <c r="B461" s="812"/>
      <c r="C461" s="812" t="s">
        <v>483</v>
      </c>
      <c r="D461" s="812" t="s">
        <v>483</v>
      </c>
      <c r="E461" s="812" t="s">
        <v>483</v>
      </c>
      <c r="F461" s="812" t="s">
        <v>483</v>
      </c>
      <c r="G461" s="812" t="s">
        <v>483</v>
      </c>
      <c r="H461" s="799" t="s">
        <v>339</v>
      </c>
      <c r="I461" s="799" t="s">
        <v>340</v>
      </c>
      <c r="J461" s="799"/>
      <c r="K461" s="800" t="s">
        <v>561</v>
      </c>
      <c r="L461" s="800" t="s">
        <v>562</v>
      </c>
      <c r="M461" s="800" t="s">
        <v>563</v>
      </c>
      <c r="N461" s="800" t="s">
        <v>561</v>
      </c>
      <c r="O461" s="800" t="s">
        <v>562</v>
      </c>
      <c r="P461" s="800" t="s">
        <v>563</v>
      </c>
      <c r="Q461" s="799" t="s">
        <v>316</v>
      </c>
      <c r="R461" s="802" t="s">
        <v>317</v>
      </c>
    </row>
    <row r="462" spans="1:18" ht="18" hidden="1" customHeight="1" x14ac:dyDescent="0.25">
      <c r="A462" s="812"/>
      <c r="B462" s="812"/>
      <c r="C462" s="812"/>
      <c r="D462" s="812"/>
      <c r="E462" s="812"/>
      <c r="F462" s="812"/>
      <c r="G462" s="812"/>
      <c r="H462" s="799"/>
      <c r="I462" s="733" t="s">
        <v>341</v>
      </c>
      <c r="J462" s="733" t="s">
        <v>342</v>
      </c>
      <c r="K462" s="801"/>
      <c r="L462" s="801"/>
      <c r="M462" s="801"/>
      <c r="N462" s="801"/>
      <c r="O462" s="801"/>
      <c r="P462" s="801"/>
      <c r="Q462" s="799"/>
      <c r="R462" s="803"/>
    </row>
    <row r="463" spans="1:18" hidden="1" x14ac:dyDescent="0.25">
      <c r="A463" s="844">
        <v>1</v>
      </c>
      <c r="B463" s="844"/>
      <c r="C463" s="7">
        <v>2</v>
      </c>
      <c r="D463" s="7">
        <v>3</v>
      </c>
      <c r="E463" s="7">
        <v>4</v>
      </c>
      <c r="F463" s="7">
        <v>5</v>
      </c>
      <c r="G463" s="7">
        <v>6</v>
      </c>
      <c r="H463" s="734">
        <v>7</v>
      </c>
      <c r="I463" s="734">
        <v>8</v>
      </c>
      <c r="J463" s="734">
        <v>9</v>
      </c>
      <c r="K463" s="734">
        <v>10</v>
      </c>
      <c r="L463" s="734">
        <v>11</v>
      </c>
      <c r="M463" s="734">
        <v>12</v>
      </c>
      <c r="N463" s="734">
        <v>13</v>
      </c>
      <c r="O463" s="734">
        <v>14</v>
      </c>
      <c r="P463" s="734">
        <v>15</v>
      </c>
      <c r="Q463" s="734">
        <v>16</v>
      </c>
      <c r="R463" s="734">
        <v>17</v>
      </c>
    </row>
    <row r="464" spans="1:18" ht="25.15" hidden="1" customHeight="1" x14ac:dyDescent="0.25">
      <c r="A464" s="845" t="str">
        <f>A444</f>
        <v>804200О.99.0.ББ52АЖ48000</v>
      </c>
      <c r="B464" s="846"/>
      <c r="C464" s="8"/>
      <c r="D464" s="8"/>
      <c r="E464" s="8"/>
      <c r="F464" s="8" t="s">
        <v>75</v>
      </c>
      <c r="G464" s="8"/>
      <c r="H464" s="735" t="s">
        <v>527</v>
      </c>
      <c r="I464" s="735" t="s">
        <v>528</v>
      </c>
      <c r="J464" s="730">
        <v>539</v>
      </c>
      <c r="K464" s="730">
        <f>'проверка фок'!D4</f>
        <v>0</v>
      </c>
      <c r="L464" s="730">
        <f>'проверка фок'!J4</f>
        <v>0</v>
      </c>
      <c r="M464" s="730">
        <f>'проверка фок'!P4</f>
        <v>0</v>
      </c>
      <c r="N464" s="736"/>
      <c r="O464" s="737"/>
      <c r="P464" s="737"/>
      <c r="Q464" s="738">
        <v>0.15</v>
      </c>
      <c r="R464" s="726"/>
    </row>
    <row r="465" spans="1:18" ht="13.9" hidden="1" x14ac:dyDescent="0.25">
      <c r="A465" s="845"/>
      <c r="B465" s="846"/>
      <c r="C465" s="8"/>
      <c r="D465" s="8"/>
      <c r="E465" s="8"/>
      <c r="F465" s="10"/>
      <c r="G465" s="8"/>
      <c r="H465" s="10"/>
      <c r="I465" s="9"/>
      <c r="J465" s="8"/>
      <c r="K465" s="8"/>
      <c r="L465" s="8"/>
      <c r="M465" s="8"/>
      <c r="N465" s="8"/>
      <c r="O465" s="9"/>
      <c r="P465" s="9"/>
      <c r="Q465" s="623"/>
      <c r="R465" s="1"/>
    </row>
    <row r="466" spans="1:18" ht="13.9" hidden="1" x14ac:dyDescent="0.25">
      <c r="A466" s="9"/>
      <c r="B466" s="9"/>
      <c r="C466" s="8"/>
      <c r="D466" s="8"/>
      <c r="E466" s="8"/>
      <c r="F466" s="8"/>
      <c r="G466" s="8"/>
      <c r="H466" s="9"/>
      <c r="I466" s="9"/>
      <c r="J466" s="8"/>
      <c r="K466" s="8"/>
      <c r="L466" s="8"/>
      <c r="M466" s="8"/>
      <c r="N466" s="8"/>
      <c r="O466" s="193"/>
      <c r="P466" s="194"/>
    </row>
    <row r="467" spans="1:18" ht="13.9" hidden="1" x14ac:dyDescent="0.25">
      <c r="A467" s="3"/>
      <c r="B467" s="3"/>
      <c r="C467" s="1"/>
      <c r="D467" s="1"/>
      <c r="E467" s="1"/>
      <c r="F467" s="1"/>
      <c r="G467" s="1"/>
      <c r="H467" s="3"/>
      <c r="I467" s="3"/>
      <c r="J467" s="1"/>
      <c r="K467" s="1"/>
      <c r="L467" s="1"/>
      <c r="M467" s="1"/>
      <c r="N467" s="1"/>
      <c r="O467" s="195"/>
      <c r="P467" s="196"/>
    </row>
    <row r="468" spans="1:18" ht="13.9" hidden="1" x14ac:dyDescent="0.25">
      <c r="A468" s="3"/>
      <c r="B468" s="3"/>
      <c r="C468" s="1"/>
      <c r="D468" s="1"/>
      <c r="E468" s="1"/>
      <c r="F468" s="1"/>
      <c r="G468" s="1"/>
      <c r="H468" s="3"/>
      <c r="I468" s="3"/>
      <c r="J468" s="1"/>
      <c r="K468" s="1"/>
      <c r="L468" s="1"/>
      <c r="M468" s="1"/>
      <c r="N468" s="1"/>
      <c r="O468" s="195"/>
      <c r="P468" s="196"/>
    </row>
    <row r="469" spans="1:18" ht="13.9" hidden="1" x14ac:dyDescent="0.25">
      <c r="A469" s="3"/>
      <c r="B469" s="3"/>
      <c r="C469" s="1"/>
      <c r="D469" s="1"/>
      <c r="E469" s="1"/>
      <c r="F469" s="1"/>
      <c r="G469" s="1"/>
      <c r="H469" s="3"/>
      <c r="I469" s="3"/>
      <c r="J469" s="1"/>
      <c r="K469" s="1"/>
      <c r="L469" s="1"/>
      <c r="M469" s="1"/>
      <c r="N469" s="1"/>
      <c r="O469" s="195"/>
      <c r="P469" s="196"/>
    </row>
    <row r="470" spans="1:18" ht="13.9" hidden="1" x14ac:dyDescent="0.25">
      <c r="A470" s="3"/>
      <c r="B470" s="3"/>
      <c r="C470" s="1"/>
      <c r="D470" s="1"/>
      <c r="E470" s="1"/>
      <c r="F470" s="1"/>
      <c r="G470" s="1"/>
      <c r="H470" s="3"/>
      <c r="I470" s="3"/>
      <c r="J470" s="1"/>
      <c r="K470" s="1"/>
      <c r="L470" s="1"/>
      <c r="M470" s="1"/>
      <c r="N470" s="1"/>
      <c r="O470" s="195"/>
      <c r="P470" s="196"/>
    </row>
    <row r="471" spans="1:18" ht="13.9" hidden="1" x14ac:dyDescent="0.25">
      <c r="A471" s="3"/>
      <c r="B471" s="3"/>
      <c r="C471" s="1"/>
      <c r="D471" s="1"/>
      <c r="E471" s="1"/>
      <c r="F471" s="1"/>
      <c r="G471" s="1"/>
      <c r="H471" s="3"/>
      <c r="I471" s="3"/>
      <c r="J471" s="1"/>
      <c r="K471" s="1"/>
      <c r="L471" s="1"/>
      <c r="M471" s="1"/>
      <c r="N471" s="1"/>
      <c r="O471" s="195"/>
      <c r="P471" s="196"/>
    </row>
    <row r="472" spans="1:18" ht="6" hidden="1" customHeight="1" x14ac:dyDescent="0.25"/>
    <row r="473" spans="1:18" s="337" customFormat="1" ht="9" hidden="1" customHeight="1" x14ac:dyDescent="0.25"/>
    <row r="474" spans="1:18" s="337" customFormat="1" ht="13.9" hidden="1" x14ac:dyDescent="0.25">
      <c r="C474" s="847"/>
      <c r="D474" s="847"/>
    </row>
    <row r="475" spans="1:18" ht="6" hidden="1" customHeight="1" x14ac:dyDescent="0.25">
      <c r="D475" s="619"/>
    </row>
    <row r="476" spans="1:18" hidden="1" x14ac:dyDescent="0.25">
      <c r="A476" s="4" t="s">
        <v>38</v>
      </c>
    </row>
    <row r="477" spans="1:18" ht="8.25" hidden="1" customHeight="1" x14ac:dyDescent="0.25"/>
    <row r="478" spans="1:18" hidden="1" x14ac:dyDescent="0.25">
      <c r="A478" s="822" t="s">
        <v>43</v>
      </c>
      <c r="B478" s="822"/>
      <c r="C478" s="822"/>
      <c r="D478" s="822"/>
      <c r="E478" s="822"/>
      <c r="F478" s="822"/>
      <c r="G478" s="822"/>
      <c r="H478" s="822"/>
      <c r="I478" s="822"/>
      <c r="J478" s="822"/>
      <c r="K478" s="822"/>
      <c r="L478" s="822"/>
      <c r="M478" s="822"/>
      <c r="N478" s="822"/>
      <c r="O478" s="822"/>
      <c r="P478" s="822"/>
    </row>
    <row r="479" spans="1:18" hidden="1" x14ac:dyDescent="0.25">
      <c r="A479" s="618" t="s">
        <v>39</v>
      </c>
      <c r="B479" s="822" t="s">
        <v>40</v>
      </c>
      <c r="C479" s="822"/>
      <c r="D479" s="822"/>
      <c r="E479" s="618" t="s">
        <v>41</v>
      </c>
      <c r="F479" s="618" t="s">
        <v>42</v>
      </c>
      <c r="G479" s="822" t="s">
        <v>25</v>
      </c>
      <c r="H479" s="822"/>
      <c r="I479" s="822"/>
      <c r="J479" s="822"/>
      <c r="K479" s="822"/>
      <c r="L479" s="822"/>
      <c r="M479" s="822"/>
      <c r="N479" s="822"/>
      <c r="O479" s="822"/>
      <c r="P479" s="822"/>
    </row>
    <row r="480" spans="1:18" s="188" customFormat="1" ht="11.25" hidden="1" x14ac:dyDescent="0.2">
      <c r="A480" s="623">
        <v>1</v>
      </c>
      <c r="B480" s="827">
        <v>2</v>
      </c>
      <c r="C480" s="827"/>
      <c r="D480" s="827"/>
      <c r="E480" s="623">
        <v>3</v>
      </c>
      <c r="F480" s="623">
        <v>4</v>
      </c>
      <c r="G480" s="827">
        <v>5</v>
      </c>
      <c r="H480" s="827"/>
      <c r="I480" s="827"/>
      <c r="J480" s="827"/>
      <c r="K480" s="827"/>
      <c r="L480" s="827"/>
      <c r="M480" s="827"/>
      <c r="N480" s="827"/>
      <c r="O480" s="827"/>
      <c r="P480" s="827"/>
    </row>
    <row r="481" spans="1:18" s="756" customFormat="1" ht="55.5" hidden="1" customHeight="1" x14ac:dyDescent="0.2">
      <c r="A481" s="734" t="s">
        <v>243</v>
      </c>
      <c r="B481" s="829" t="s">
        <v>244</v>
      </c>
      <c r="C481" s="830"/>
      <c r="D481" s="831"/>
      <c r="E481" s="755">
        <v>43306</v>
      </c>
      <c r="F481" s="734">
        <v>129</v>
      </c>
      <c r="G481" s="832" t="s">
        <v>558</v>
      </c>
      <c r="H481" s="833"/>
      <c r="I481" s="833"/>
      <c r="J481" s="833"/>
      <c r="K481" s="833"/>
      <c r="L481" s="833"/>
      <c r="M481" s="833"/>
      <c r="N481" s="833"/>
      <c r="O481" s="833"/>
      <c r="P481" s="834"/>
    </row>
    <row r="482" spans="1:18" s="188" customFormat="1" ht="36.75" hidden="1" customHeight="1" x14ac:dyDescent="0.2">
      <c r="A482" s="7"/>
      <c r="B482" s="837"/>
      <c r="C482" s="838"/>
      <c r="D482" s="839"/>
      <c r="E482" s="197"/>
      <c r="F482" s="623"/>
      <c r="G482" s="840"/>
      <c r="H482" s="840"/>
      <c r="I482" s="840"/>
      <c r="J482" s="840"/>
      <c r="K482" s="840"/>
      <c r="L482" s="840"/>
      <c r="M482" s="840"/>
      <c r="N482" s="840"/>
      <c r="O482" s="840"/>
      <c r="P482" s="840"/>
    </row>
    <row r="483" spans="1:18" s="188" customFormat="1" ht="0.75" hidden="1" customHeight="1" x14ac:dyDescent="0.2">
      <c r="A483" s="8"/>
      <c r="B483" s="827"/>
      <c r="C483" s="827"/>
      <c r="D483" s="827"/>
      <c r="E483" s="197"/>
      <c r="F483" s="8"/>
      <c r="G483" s="809"/>
      <c r="H483" s="841"/>
      <c r="I483" s="841"/>
      <c r="J483" s="841"/>
      <c r="K483" s="841"/>
      <c r="L483" s="841"/>
      <c r="M483" s="841"/>
      <c r="N483" s="841"/>
      <c r="O483" s="841"/>
      <c r="P483" s="842"/>
    </row>
    <row r="484" spans="1:18" s="188" customFormat="1" ht="18.75" hidden="1" customHeight="1" x14ac:dyDescent="0.2">
      <c r="A484" s="8"/>
      <c r="B484" s="827"/>
      <c r="C484" s="827"/>
      <c r="D484" s="827"/>
      <c r="E484" s="8"/>
      <c r="F484" s="8"/>
      <c r="G484" s="843"/>
      <c r="H484" s="843"/>
      <c r="I484" s="843"/>
      <c r="J484" s="843"/>
      <c r="K484" s="843"/>
      <c r="L484" s="843"/>
      <c r="M484" s="843"/>
      <c r="N484" s="843"/>
      <c r="O484" s="843"/>
      <c r="P484" s="843"/>
    </row>
    <row r="485" spans="1:18" ht="9.75" hidden="1" customHeight="1" x14ac:dyDescent="0.25"/>
    <row r="486" spans="1:18" hidden="1" x14ac:dyDescent="0.25">
      <c r="A486" s="4" t="s">
        <v>44</v>
      </c>
    </row>
    <row r="487" spans="1:18" ht="8.25" hidden="1" customHeight="1" x14ac:dyDescent="0.25"/>
    <row r="488" spans="1:18" hidden="1" x14ac:dyDescent="0.25">
      <c r="A488" s="4" t="s">
        <v>45</v>
      </c>
    </row>
    <row r="489" spans="1:18" ht="12" hidden="1" customHeight="1" x14ac:dyDescent="0.25">
      <c r="A489" s="835" t="s">
        <v>343</v>
      </c>
      <c r="B489" s="835"/>
      <c r="C489" s="835"/>
      <c r="D489" s="835"/>
      <c r="E489" s="835"/>
      <c r="F489" s="835"/>
      <c r="G489" s="835"/>
      <c r="H489" s="835"/>
      <c r="I489" s="835"/>
      <c r="J489" s="835"/>
      <c r="K489" s="835"/>
      <c r="L489" s="835"/>
      <c r="M489" s="835"/>
      <c r="N489" s="835"/>
      <c r="O489" s="835"/>
      <c r="P489" s="835"/>
    </row>
    <row r="490" spans="1:18" ht="72" hidden="1" customHeight="1" x14ac:dyDescent="0.25">
      <c r="A490" s="835" t="s">
        <v>344</v>
      </c>
      <c r="B490" s="835"/>
      <c r="C490" s="835"/>
      <c r="D490" s="835"/>
      <c r="E490" s="835"/>
      <c r="F490" s="835"/>
      <c r="G490" s="835"/>
      <c r="H490" s="835"/>
      <c r="I490" s="835"/>
      <c r="J490" s="835"/>
      <c r="K490" s="835"/>
      <c r="L490" s="835"/>
      <c r="M490" s="835"/>
      <c r="N490" s="835"/>
      <c r="O490" s="835"/>
      <c r="P490" s="835"/>
      <c r="Q490" s="835"/>
      <c r="R490" s="835"/>
    </row>
    <row r="491" spans="1:18" hidden="1" x14ac:dyDescent="0.25">
      <c r="A491" s="836" t="s">
        <v>46</v>
      </c>
      <c r="B491" s="836"/>
      <c r="C491" s="836"/>
      <c r="D491" s="836"/>
      <c r="E491" s="836"/>
      <c r="F491" s="836"/>
      <c r="G491" s="836"/>
      <c r="H491" s="836"/>
      <c r="I491" s="836"/>
      <c r="J491" s="836"/>
      <c r="K491" s="836"/>
      <c r="L491" s="836"/>
    </row>
    <row r="492" spans="1:18" ht="3.75" hidden="1" customHeight="1" x14ac:dyDescent="0.25"/>
    <row r="493" spans="1:18" hidden="1" x14ac:dyDescent="0.25">
      <c r="A493" s="4" t="s">
        <v>241</v>
      </c>
    </row>
    <row r="494" spans="1:18" hidden="1" x14ac:dyDescent="0.25"/>
    <row r="495" spans="1:18" hidden="1" x14ac:dyDescent="0.25">
      <c r="A495" s="822" t="s">
        <v>48</v>
      </c>
      <c r="B495" s="822"/>
      <c r="C495" s="822"/>
      <c r="D495" s="827" t="s">
        <v>49</v>
      </c>
      <c r="E495" s="827"/>
      <c r="F495" s="827"/>
      <c r="G495" s="827"/>
      <c r="H495" s="822" t="s">
        <v>50</v>
      </c>
      <c r="I495" s="822"/>
      <c r="J495" s="822"/>
      <c r="K495" s="822"/>
    </row>
    <row r="496" spans="1:18" hidden="1" x14ac:dyDescent="0.25">
      <c r="A496" s="828">
        <v>1</v>
      </c>
      <c r="B496" s="828"/>
      <c r="C496" s="828"/>
      <c r="D496" s="828">
        <v>2</v>
      </c>
      <c r="E496" s="828"/>
      <c r="F496" s="828"/>
      <c r="G496" s="828"/>
      <c r="H496" s="828">
        <v>3</v>
      </c>
      <c r="I496" s="828"/>
      <c r="J496" s="828"/>
      <c r="K496" s="828"/>
    </row>
    <row r="497" spans="1:17" ht="405.75" hidden="1" customHeight="1" x14ac:dyDescent="0.25">
      <c r="A497" s="806" t="s">
        <v>251</v>
      </c>
      <c r="B497" s="807"/>
      <c r="C497" s="808"/>
      <c r="D497" s="809" t="s">
        <v>322</v>
      </c>
      <c r="E497" s="810"/>
      <c r="F497" s="810"/>
      <c r="G497" s="811"/>
      <c r="H497" s="806" t="s">
        <v>323</v>
      </c>
      <c r="I497" s="807"/>
      <c r="J497" s="807"/>
      <c r="K497" s="808"/>
    </row>
    <row r="498" spans="1:17" hidden="1" x14ac:dyDescent="0.25">
      <c r="A498" s="817" t="s">
        <v>51</v>
      </c>
      <c r="B498" s="817"/>
      <c r="C498" s="817"/>
      <c r="D498" s="817"/>
      <c r="E498" s="817"/>
      <c r="F498" s="817"/>
      <c r="G498" s="817"/>
      <c r="H498" s="817"/>
      <c r="I498" s="817"/>
      <c r="J498" s="817"/>
      <c r="K498" s="817"/>
      <c r="L498" s="817"/>
      <c r="M498" s="817"/>
      <c r="N498" s="817"/>
      <c r="O498" s="817"/>
      <c r="P498" s="817"/>
    </row>
    <row r="499" spans="1:17" hidden="1" x14ac:dyDescent="0.25">
      <c r="A499" s="817" t="s">
        <v>250</v>
      </c>
      <c r="B499" s="817"/>
      <c r="C499" s="817"/>
      <c r="D499" s="817"/>
      <c r="E499" s="817"/>
      <c r="F499" s="817"/>
      <c r="G499" s="817"/>
      <c r="H499" s="817"/>
      <c r="I499" s="817"/>
      <c r="J499" s="817"/>
      <c r="K499" s="817"/>
      <c r="L499" s="817"/>
      <c r="M499" s="817"/>
      <c r="N499" s="817"/>
      <c r="O499" s="817"/>
      <c r="P499" s="817"/>
    </row>
    <row r="500" spans="1:17" ht="9" hidden="1" customHeight="1" x14ac:dyDescent="0.25"/>
    <row r="501" spans="1:17" hidden="1" x14ac:dyDescent="0.25">
      <c r="A501" s="4" t="s">
        <v>52</v>
      </c>
      <c r="C501" s="884" t="s">
        <v>86</v>
      </c>
      <c r="D501" s="884"/>
      <c r="E501" s="884"/>
      <c r="F501" s="884"/>
      <c r="G501" s="884"/>
      <c r="H501" s="884"/>
      <c r="I501" s="884"/>
      <c r="J501" s="884"/>
      <c r="K501" s="884"/>
      <c r="L501" s="884"/>
      <c r="M501" s="854" t="s">
        <v>314</v>
      </c>
      <c r="N501" s="855"/>
      <c r="O501" s="822"/>
      <c r="P501" s="822"/>
    </row>
    <row r="502" spans="1:17" ht="47.25" hidden="1" customHeight="1" x14ac:dyDescent="0.25">
      <c r="A502" s="885" t="s">
        <v>87</v>
      </c>
      <c r="B502" s="885"/>
      <c r="C502" s="885"/>
      <c r="D502" s="885"/>
      <c r="E502" s="885"/>
      <c r="F502" s="885"/>
      <c r="G502" s="885"/>
      <c r="H502" s="885"/>
      <c r="I502" s="885"/>
      <c r="J502" s="885"/>
      <c r="K502" s="885"/>
      <c r="L502" s="885"/>
      <c r="M502" s="854"/>
      <c r="N502" s="855"/>
      <c r="O502" s="822"/>
      <c r="P502" s="822"/>
    </row>
    <row r="503" spans="1:17" hidden="1" x14ac:dyDescent="0.25">
      <c r="A503" s="4" t="s">
        <v>53</v>
      </c>
      <c r="D503" s="886" t="s">
        <v>529</v>
      </c>
      <c r="E503" s="886"/>
      <c r="F503" s="886"/>
      <c r="G503" s="886"/>
      <c r="H503" s="886"/>
      <c r="I503" s="886"/>
      <c r="J503" s="886"/>
      <c r="K503" s="886"/>
      <c r="L503" s="886"/>
      <c r="M503" s="886"/>
      <c r="N503" s="624"/>
      <c r="O503" s="822"/>
      <c r="P503" s="822"/>
    </row>
    <row r="504" spans="1:17" hidden="1" x14ac:dyDescent="0.25">
      <c r="A504" s="820"/>
      <c r="B504" s="820"/>
      <c r="C504" s="820"/>
      <c r="D504" s="820"/>
      <c r="E504" s="820"/>
      <c r="F504" s="820"/>
      <c r="G504" s="820"/>
      <c r="H504" s="820"/>
      <c r="I504" s="820"/>
      <c r="J504" s="820"/>
      <c r="K504" s="820"/>
      <c r="L504" s="820"/>
      <c r="M504" s="820"/>
      <c r="N504" s="5"/>
    </row>
    <row r="505" spans="1:17" ht="5.25" hidden="1" customHeight="1" x14ac:dyDescent="0.25">
      <c r="A505" s="619"/>
      <c r="B505" s="619"/>
      <c r="C505" s="619"/>
      <c r="D505" s="619"/>
      <c r="E505" s="619"/>
      <c r="F505" s="619"/>
      <c r="G505" s="619"/>
      <c r="H505" s="619"/>
      <c r="I505" s="619"/>
      <c r="J505" s="619"/>
      <c r="K505" s="619"/>
      <c r="L505" s="619"/>
      <c r="M505" s="619"/>
      <c r="N505" s="619"/>
    </row>
    <row r="506" spans="1:17" hidden="1" x14ac:dyDescent="0.25">
      <c r="A506" s="4" t="s">
        <v>54</v>
      </c>
    </row>
    <row r="507" spans="1:17" ht="3.75" hidden="1" customHeight="1" x14ac:dyDescent="0.25"/>
    <row r="508" spans="1:17" hidden="1" x14ac:dyDescent="0.25">
      <c r="A508" s="4" t="s">
        <v>55</v>
      </c>
    </row>
    <row r="509" spans="1:17" ht="6" hidden="1" customHeight="1" x14ac:dyDescent="0.25"/>
    <row r="510" spans="1:17" ht="44.25" hidden="1" customHeight="1" x14ac:dyDescent="0.25">
      <c r="A510" s="812" t="s">
        <v>17</v>
      </c>
      <c r="B510" s="812"/>
      <c r="C510" s="837" t="s">
        <v>56</v>
      </c>
      <c r="D510" s="838"/>
      <c r="E510" s="839"/>
      <c r="F510" s="875" t="s">
        <v>57</v>
      </c>
      <c r="G510" s="875"/>
      <c r="H510" s="812" t="s">
        <v>58</v>
      </c>
      <c r="I510" s="812"/>
      <c r="J510" s="812"/>
      <c r="K510" s="812"/>
      <c r="L510" s="812"/>
      <c r="M510" s="837" t="s">
        <v>22</v>
      </c>
      <c r="N510" s="838"/>
      <c r="O510" s="839"/>
      <c r="P510" s="812" t="s">
        <v>315</v>
      </c>
      <c r="Q510" s="812"/>
    </row>
    <row r="511" spans="1:17" ht="24.75" hidden="1" customHeight="1" x14ac:dyDescent="0.25">
      <c r="A511" s="812"/>
      <c r="B511" s="812"/>
      <c r="C511" s="813" t="s">
        <v>19</v>
      </c>
      <c r="D511" s="813" t="s">
        <v>19</v>
      </c>
      <c r="E511" s="813" t="s">
        <v>19</v>
      </c>
      <c r="F511" s="813" t="s">
        <v>19</v>
      </c>
      <c r="G511" s="813" t="s">
        <v>19</v>
      </c>
      <c r="H511" s="812" t="s">
        <v>26</v>
      </c>
      <c r="I511" s="812"/>
      <c r="J511" s="812" t="s">
        <v>23</v>
      </c>
      <c r="K511" s="812"/>
      <c r="L511" s="812"/>
      <c r="M511" s="800" t="s">
        <v>561</v>
      </c>
      <c r="N511" s="800" t="s">
        <v>562</v>
      </c>
      <c r="O511" s="800" t="s">
        <v>563</v>
      </c>
      <c r="P511" s="813" t="s">
        <v>316</v>
      </c>
      <c r="Q511" s="814" t="s">
        <v>317</v>
      </c>
    </row>
    <row r="512" spans="1:17" ht="26.25" hidden="1" customHeight="1" x14ac:dyDescent="0.25">
      <c r="A512" s="812"/>
      <c r="B512" s="812"/>
      <c r="C512" s="813"/>
      <c r="D512" s="813"/>
      <c r="E512" s="813"/>
      <c r="F512" s="813"/>
      <c r="G512" s="813"/>
      <c r="H512" s="812"/>
      <c r="I512" s="812"/>
      <c r="J512" s="882" t="s">
        <v>25</v>
      </c>
      <c r="K512" s="883"/>
      <c r="L512" s="7" t="s">
        <v>24</v>
      </c>
      <c r="M512" s="801"/>
      <c r="N512" s="801"/>
      <c r="O512" s="801"/>
      <c r="P512" s="813"/>
      <c r="Q512" s="815"/>
    </row>
    <row r="513" spans="1:17" s="198" customFormat="1" ht="7.5" hidden="1" x14ac:dyDescent="0.15">
      <c r="A513" s="876">
        <v>1</v>
      </c>
      <c r="B513" s="876"/>
      <c r="C513" s="621">
        <v>2</v>
      </c>
      <c r="D513" s="621">
        <v>3</v>
      </c>
      <c r="E513" s="621">
        <v>4</v>
      </c>
      <c r="F513" s="621">
        <v>5</v>
      </c>
      <c r="G513" s="621">
        <v>6</v>
      </c>
      <c r="H513" s="876">
        <v>7</v>
      </c>
      <c r="I513" s="876"/>
      <c r="J513" s="877">
        <v>8</v>
      </c>
      <c r="K513" s="878"/>
      <c r="L513" s="621">
        <v>9</v>
      </c>
      <c r="M513" s="621">
        <v>10</v>
      </c>
      <c r="N513" s="621">
        <v>11</v>
      </c>
      <c r="O513" s="621">
        <v>12</v>
      </c>
      <c r="P513" s="621">
        <v>13</v>
      </c>
      <c r="Q513" s="622">
        <v>14</v>
      </c>
    </row>
    <row r="514" spans="1:17" ht="94.5" hidden="1" customHeight="1" x14ac:dyDescent="0.25">
      <c r="A514" s="879">
        <v>248</v>
      </c>
      <c r="B514" s="866"/>
      <c r="C514" s="739" t="s">
        <v>530</v>
      </c>
      <c r="D514" s="730"/>
      <c r="E514" s="730"/>
      <c r="F514" s="735" t="s">
        <v>531</v>
      </c>
      <c r="G514" s="730"/>
      <c r="H514" s="880" t="s">
        <v>532</v>
      </c>
      <c r="I514" s="881"/>
      <c r="J514" s="852" t="s">
        <v>82</v>
      </c>
      <c r="K514" s="853"/>
      <c r="L514" s="729">
        <v>744</v>
      </c>
      <c r="M514" s="294" t="s">
        <v>242</v>
      </c>
      <c r="N514" s="294" t="s">
        <v>242</v>
      </c>
      <c r="O514" s="294" t="s">
        <v>242</v>
      </c>
      <c r="P514" s="623"/>
      <c r="Q514" s="1"/>
    </row>
    <row r="515" spans="1:17" ht="13.9" hidden="1" x14ac:dyDescent="0.25">
      <c r="A515" s="824"/>
      <c r="B515" s="826"/>
      <c r="C515" s="1"/>
      <c r="D515" s="1"/>
      <c r="E515" s="1"/>
      <c r="F515" s="1"/>
      <c r="G515" s="1"/>
      <c r="H515" s="824"/>
      <c r="I515" s="826"/>
      <c r="J515" s="824"/>
      <c r="K515" s="826"/>
      <c r="L515" s="1"/>
      <c r="M515" s="8"/>
      <c r="N515" s="8"/>
      <c r="O515" s="623"/>
      <c r="P515" s="191"/>
    </row>
    <row r="516" spans="1:17" ht="13.9" hidden="1" x14ac:dyDescent="0.25">
      <c r="A516" s="824"/>
      <c r="B516" s="826"/>
      <c r="C516" s="1"/>
      <c r="D516" s="1"/>
      <c r="E516" s="1"/>
      <c r="F516" s="1"/>
      <c r="G516" s="1"/>
      <c r="H516" s="824"/>
      <c r="I516" s="826"/>
      <c r="J516" s="824"/>
      <c r="K516" s="826"/>
      <c r="L516" s="1"/>
      <c r="M516" s="8"/>
      <c r="N516" s="8"/>
      <c r="O516" s="623"/>
      <c r="P516" s="191"/>
    </row>
    <row r="517" spans="1:17" ht="13.9" hidden="1" x14ac:dyDescent="0.25">
      <c r="A517" s="824"/>
      <c r="B517" s="826"/>
      <c r="C517" s="1"/>
      <c r="D517" s="1"/>
      <c r="E517" s="1"/>
      <c r="F517" s="1"/>
      <c r="G517" s="1"/>
      <c r="H517" s="824"/>
      <c r="I517" s="826"/>
      <c r="J517" s="824"/>
      <c r="K517" s="826"/>
      <c r="L517" s="1"/>
      <c r="M517" s="8"/>
      <c r="N517" s="8"/>
      <c r="O517" s="623"/>
      <c r="P517" s="191"/>
    </row>
    <row r="518" spans="1:17" ht="13.9" hidden="1" x14ac:dyDescent="0.25">
      <c r="A518" s="824"/>
      <c r="B518" s="826"/>
      <c r="C518" s="1"/>
      <c r="D518" s="1"/>
      <c r="E518" s="1"/>
      <c r="F518" s="1"/>
      <c r="G518" s="1"/>
      <c r="H518" s="824"/>
      <c r="I518" s="826"/>
      <c r="J518" s="824"/>
      <c r="K518" s="826"/>
      <c r="L518" s="1"/>
      <c r="M518" s="8"/>
      <c r="N518" s="8"/>
      <c r="O518" s="623"/>
      <c r="P518" s="191"/>
    </row>
    <row r="519" spans="1:17" ht="13.9" hidden="1" x14ac:dyDescent="0.25">
      <c r="A519" s="824"/>
      <c r="B519" s="826"/>
      <c r="C519" s="1"/>
      <c r="D519" s="1"/>
      <c r="E519" s="1"/>
      <c r="F519" s="1"/>
      <c r="G519" s="1"/>
      <c r="H519" s="824"/>
      <c r="I519" s="826"/>
      <c r="J519" s="824"/>
      <c r="K519" s="826"/>
      <c r="L519" s="1"/>
      <c r="M519" s="8"/>
      <c r="N519" s="8"/>
      <c r="O519" s="623"/>
      <c r="P519" s="191"/>
    </row>
    <row r="520" spans="1:17" ht="13.9" hidden="1" x14ac:dyDescent="0.25">
      <c r="A520" s="824"/>
      <c r="B520" s="826"/>
      <c r="C520" s="1"/>
      <c r="D520" s="1"/>
      <c r="E520" s="1"/>
      <c r="F520" s="1"/>
      <c r="G520" s="1"/>
      <c r="H520" s="824"/>
      <c r="I520" s="826"/>
      <c r="J520" s="824"/>
      <c r="K520" s="826"/>
      <c r="L520" s="1"/>
      <c r="M520" s="8"/>
      <c r="N520" s="8"/>
      <c r="O520" s="623"/>
      <c r="P520" s="191"/>
    </row>
    <row r="521" spans="1:17" ht="13.9" hidden="1" x14ac:dyDescent="0.25">
      <c r="A521" s="824"/>
      <c r="B521" s="826"/>
      <c r="C521" s="1"/>
      <c r="D521" s="1"/>
      <c r="E521" s="1"/>
      <c r="F521" s="1"/>
      <c r="G521" s="1"/>
      <c r="H521" s="824"/>
      <c r="I521" s="826"/>
      <c r="J521" s="824"/>
      <c r="K521" s="826"/>
      <c r="L521" s="1"/>
      <c r="M521" s="8"/>
      <c r="N521" s="8"/>
      <c r="O521" s="623"/>
      <c r="P521" s="191"/>
    </row>
    <row r="522" spans="1:17" ht="7.5" hidden="1" customHeight="1" x14ac:dyDescent="0.25"/>
    <row r="523" spans="1:17" s="6" customFormat="1" ht="13.9" hidden="1" x14ac:dyDescent="0.25"/>
    <row r="524" spans="1:17" s="6" customFormat="1" ht="13.9" hidden="1" x14ac:dyDescent="0.25">
      <c r="C524" s="867"/>
      <c r="D524" s="867"/>
    </row>
    <row r="525" spans="1:17" ht="7.5" hidden="1" customHeight="1" x14ac:dyDescent="0.25">
      <c r="D525" s="619"/>
    </row>
    <row r="526" spans="1:17" ht="6.75" hidden="1" customHeight="1" x14ac:dyDescent="0.25"/>
    <row r="527" spans="1:17" hidden="1" x14ac:dyDescent="0.25">
      <c r="A527" s="4" t="s">
        <v>59</v>
      </c>
    </row>
    <row r="528" spans="1:17" ht="6.75" hidden="1" customHeight="1" x14ac:dyDescent="0.25"/>
    <row r="529" spans="1:16" ht="58.5" hidden="1" customHeight="1" x14ac:dyDescent="0.25">
      <c r="A529" s="869" t="s">
        <v>17</v>
      </c>
      <c r="B529" s="870"/>
      <c r="C529" s="837" t="s">
        <v>56</v>
      </c>
      <c r="D529" s="838"/>
      <c r="E529" s="839"/>
      <c r="F529" s="875" t="s">
        <v>57</v>
      </c>
      <c r="G529" s="875"/>
      <c r="H529" s="868" t="s">
        <v>60</v>
      </c>
      <c r="I529" s="868"/>
      <c r="J529" s="868"/>
      <c r="K529" s="868" t="s">
        <v>61</v>
      </c>
      <c r="L529" s="868"/>
      <c r="M529" s="868"/>
      <c r="N529" s="812" t="s">
        <v>459</v>
      </c>
      <c r="O529" s="812"/>
      <c r="P529" s="335"/>
    </row>
    <row r="530" spans="1:16" ht="42" hidden="1" customHeight="1" x14ac:dyDescent="0.25">
      <c r="A530" s="871"/>
      <c r="B530" s="872"/>
      <c r="C530" s="813" t="s">
        <v>19</v>
      </c>
      <c r="D530" s="813" t="s">
        <v>19</v>
      </c>
      <c r="E530" s="813" t="s">
        <v>19</v>
      </c>
      <c r="F530" s="813" t="s">
        <v>19</v>
      </c>
      <c r="G530" s="813" t="s">
        <v>19</v>
      </c>
      <c r="H530" s="868" t="s">
        <v>26</v>
      </c>
      <c r="I530" s="868" t="s">
        <v>23</v>
      </c>
      <c r="J530" s="868"/>
      <c r="K530" s="800" t="s">
        <v>561</v>
      </c>
      <c r="L530" s="800" t="s">
        <v>562</v>
      </c>
      <c r="M530" s="800" t="s">
        <v>563</v>
      </c>
      <c r="N530" s="813" t="s">
        <v>316</v>
      </c>
      <c r="O530" s="814" t="s">
        <v>317</v>
      </c>
      <c r="P530" s="862"/>
    </row>
    <row r="531" spans="1:16" ht="27.6" hidden="1" customHeight="1" x14ac:dyDescent="0.25">
      <c r="A531" s="873"/>
      <c r="B531" s="874"/>
      <c r="C531" s="813"/>
      <c r="D531" s="813"/>
      <c r="E531" s="813"/>
      <c r="F531" s="813"/>
      <c r="G531" s="813"/>
      <c r="H531" s="868"/>
      <c r="I531" s="620" t="s">
        <v>33</v>
      </c>
      <c r="J531" s="2" t="s">
        <v>24</v>
      </c>
      <c r="K531" s="801"/>
      <c r="L531" s="801"/>
      <c r="M531" s="801"/>
      <c r="N531" s="813"/>
      <c r="O531" s="815"/>
      <c r="P531" s="862"/>
    </row>
    <row r="532" spans="1:16" s="198" customFormat="1" ht="10.15" hidden="1" customHeight="1" x14ac:dyDescent="0.15">
      <c r="A532" s="863">
        <v>1</v>
      </c>
      <c r="B532" s="864"/>
      <c r="C532" s="621">
        <v>2</v>
      </c>
      <c r="D532" s="621">
        <v>3</v>
      </c>
      <c r="E532" s="621">
        <v>4</v>
      </c>
      <c r="F532" s="621">
        <v>5</v>
      </c>
      <c r="G532" s="621">
        <v>6</v>
      </c>
      <c r="H532" s="711">
        <v>7</v>
      </c>
      <c r="I532" s="711">
        <v>8</v>
      </c>
      <c r="J532" s="621">
        <v>9</v>
      </c>
      <c r="K532" s="621">
        <v>10</v>
      </c>
      <c r="L532" s="621">
        <v>11</v>
      </c>
      <c r="M532" s="621">
        <v>12</v>
      </c>
      <c r="N532" s="621">
        <v>13</v>
      </c>
      <c r="O532" s="622">
        <v>14</v>
      </c>
      <c r="P532" s="199"/>
    </row>
    <row r="533" spans="1:16" ht="52.5" hidden="1" customHeight="1" x14ac:dyDescent="0.25">
      <c r="A533" s="865">
        <f>A514</f>
        <v>248</v>
      </c>
      <c r="B533" s="866"/>
      <c r="C533" s="739" t="s">
        <v>530</v>
      </c>
      <c r="D533" s="730"/>
      <c r="E533" s="730"/>
      <c r="F533" s="735" t="s">
        <v>531</v>
      </c>
      <c r="G533" s="730"/>
      <c r="H533" s="735" t="s">
        <v>532</v>
      </c>
      <c r="I533" s="735"/>
      <c r="J533" s="740">
        <v>796</v>
      </c>
      <c r="K533" s="741">
        <f>'проверка фок'!D32</f>
        <v>0</v>
      </c>
      <c r="L533" s="686">
        <f>'проверка фок'!J32</f>
        <v>0</v>
      </c>
      <c r="M533" s="686">
        <f>'проверка фок'!P32</f>
        <v>0</v>
      </c>
      <c r="N533" s="623"/>
      <c r="O533" s="1"/>
      <c r="P533" s="5"/>
    </row>
    <row r="534" spans="1:16" ht="13.9" hidden="1" x14ac:dyDescent="0.25">
      <c r="A534" s="3"/>
      <c r="B534" s="3"/>
      <c r="C534" s="1"/>
      <c r="D534" s="1"/>
      <c r="E534" s="1"/>
      <c r="F534" s="1"/>
      <c r="G534" s="1"/>
      <c r="H534" s="712"/>
      <c r="I534" s="712"/>
      <c r="J534" s="1"/>
      <c r="K534" s="1"/>
      <c r="L534" s="1"/>
      <c r="M534" s="1"/>
      <c r="N534" s="6"/>
      <c r="O534" s="5"/>
      <c r="P534" s="5"/>
    </row>
    <row r="535" spans="1:16" ht="13.9" hidden="1" x14ac:dyDescent="0.25">
      <c r="A535" s="3"/>
      <c r="B535" s="3"/>
      <c r="C535" s="1"/>
      <c r="D535" s="1"/>
      <c r="E535" s="1"/>
      <c r="F535" s="1"/>
      <c r="G535" s="1"/>
      <c r="H535" s="3"/>
      <c r="I535" s="3"/>
      <c r="J535" s="1"/>
      <c r="K535" s="1"/>
      <c r="L535" s="1"/>
      <c r="M535" s="1"/>
      <c r="N535" s="6"/>
      <c r="O535" s="5"/>
      <c r="P535" s="5"/>
    </row>
    <row r="536" spans="1:16" ht="13.9" hidden="1" x14ac:dyDescent="0.25">
      <c r="A536" s="3"/>
      <c r="B536" s="3"/>
      <c r="C536" s="1"/>
      <c r="D536" s="1"/>
      <c r="E536" s="1"/>
      <c r="F536" s="1"/>
      <c r="G536" s="1"/>
      <c r="H536" s="3"/>
      <c r="I536" s="3"/>
      <c r="J536" s="1"/>
      <c r="K536" s="1"/>
      <c r="L536" s="1"/>
      <c r="M536" s="1"/>
      <c r="N536" s="6"/>
      <c r="O536" s="5"/>
      <c r="P536" s="5"/>
    </row>
    <row r="537" spans="1:16" ht="13.9" hidden="1" x14ac:dyDescent="0.25">
      <c r="A537" s="3"/>
      <c r="B537" s="3"/>
      <c r="C537" s="1"/>
      <c r="D537" s="1"/>
      <c r="E537" s="1"/>
      <c r="F537" s="1"/>
      <c r="G537" s="1"/>
      <c r="H537" s="3"/>
      <c r="I537" s="3"/>
      <c r="J537" s="1"/>
      <c r="K537" s="1"/>
      <c r="L537" s="1"/>
      <c r="M537" s="1"/>
      <c r="N537" s="6"/>
      <c r="O537" s="5"/>
      <c r="P537" s="5"/>
    </row>
    <row r="538" spans="1:16" ht="13.9" hidden="1" x14ac:dyDescent="0.25">
      <c r="A538" s="3"/>
      <c r="B538" s="3"/>
      <c r="C538" s="1"/>
      <c r="D538" s="1"/>
      <c r="E538" s="1"/>
      <c r="F538" s="1"/>
      <c r="G538" s="1"/>
      <c r="H538" s="3"/>
      <c r="I538" s="3"/>
      <c r="J538" s="1"/>
      <c r="K538" s="1"/>
      <c r="L538" s="1"/>
      <c r="M538" s="1"/>
      <c r="N538" s="6"/>
      <c r="O538" s="5"/>
      <c r="P538" s="5"/>
    </row>
    <row r="539" spans="1:16" ht="13.9" hidden="1" x14ac:dyDescent="0.25">
      <c r="A539" s="3"/>
      <c r="B539" s="3"/>
      <c r="C539" s="1"/>
      <c r="D539" s="1"/>
      <c r="E539" s="1"/>
      <c r="F539" s="1"/>
      <c r="G539" s="1"/>
      <c r="H539" s="3"/>
      <c r="I539" s="3"/>
      <c r="J539" s="1"/>
      <c r="K539" s="1"/>
      <c r="L539" s="1"/>
      <c r="M539" s="1"/>
      <c r="N539" s="6"/>
      <c r="O539" s="5"/>
      <c r="P539" s="5"/>
    </row>
    <row r="540" spans="1:16" ht="13.9" hidden="1" x14ac:dyDescent="0.25">
      <c r="A540" s="3"/>
      <c r="B540" s="3"/>
      <c r="C540" s="1"/>
      <c r="D540" s="1"/>
      <c r="E540" s="1"/>
      <c r="F540" s="1"/>
      <c r="G540" s="1"/>
      <c r="H540" s="3"/>
      <c r="I540" s="3"/>
      <c r="J540" s="1"/>
      <c r="K540" s="1"/>
      <c r="L540" s="1"/>
      <c r="M540" s="1"/>
      <c r="N540" s="6"/>
      <c r="O540" s="5"/>
      <c r="P540" s="5"/>
    </row>
    <row r="541" spans="1:16" ht="9" hidden="1" customHeight="1" x14ac:dyDescent="0.25"/>
    <row r="542" spans="1:16" s="6" customFormat="1" ht="13.9" hidden="1" x14ac:dyDescent="0.25"/>
    <row r="543" spans="1:16" s="6" customFormat="1" ht="13.9" hidden="1" x14ac:dyDescent="0.25">
      <c r="C543" s="867"/>
      <c r="D543" s="867"/>
    </row>
    <row r="544" spans="1:16" ht="8.25" hidden="1" customHeight="1" x14ac:dyDescent="0.25">
      <c r="D544" s="619"/>
    </row>
    <row r="545" spans="1:16" s="187" customFormat="1" ht="12.75" hidden="1" x14ac:dyDescent="0.2">
      <c r="A545" s="186" t="s">
        <v>34</v>
      </c>
    </row>
    <row r="546" spans="1:16" s="187" customFormat="1" ht="12.75" hidden="1" x14ac:dyDescent="0.2">
      <c r="A546" s="187" t="s">
        <v>35</v>
      </c>
    </row>
    <row r="547" spans="1:16" s="187" customFormat="1" ht="12.75" hidden="1" x14ac:dyDescent="0.2">
      <c r="A547" s="187" t="s">
        <v>36</v>
      </c>
    </row>
    <row r="548" spans="1:16" hidden="1" x14ac:dyDescent="0.25"/>
    <row r="549" spans="1:16" hidden="1" x14ac:dyDescent="0.25"/>
    <row r="550" spans="1:16" hidden="1" x14ac:dyDescent="0.25"/>
    <row r="551" spans="1:16" x14ac:dyDescent="0.25">
      <c r="A551" s="817" t="s">
        <v>62</v>
      </c>
      <c r="B551" s="817"/>
      <c r="C551" s="817"/>
      <c r="D551" s="817"/>
      <c r="E551" s="817"/>
      <c r="F551" s="817"/>
      <c r="G551" s="817"/>
      <c r="H551" s="817"/>
      <c r="I551" s="817"/>
      <c r="J551" s="817"/>
      <c r="K551" s="817"/>
      <c r="L551" s="817"/>
      <c r="M551" s="817"/>
      <c r="N551" s="817"/>
      <c r="O551" s="817"/>
      <c r="P551" s="817"/>
    </row>
    <row r="552" spans="1:16" ht="9.75" customHeight="1" x14ac:dyDescent="0.25">
      <c r="A552" s="615"/>
      <c r="B552" s="615"/>
      <c r="C552" s="615"/>
      <c r="D552" s="615"/>
      <c r="E552" s="615"/>
      <c r="F552" s="615"/>
      <c r="G552" s="615"/>
      <c r="H552" s="615"/>
      <c r="I552" s="615"/>
      <c r="J552" s="615"/>
      <c r="K552" s="615"/>
      <c r="L552" s="615"/>
      <c r="M552" s="615"/>
      <c r="N552" s="615"/>
      <c r="O552" s="615"/>
      <c r="P552" s="615"/>
    </row>
    <row r="553" spans="1:16" x14ac:dyDescent="0.25">
      <c r="A553" s="818" t="s">
        <v>63</v>
      </c>
      <c r="B553" s="818"/>
      <c r="C553" s="818"/>
      <c r="D553" s="818"/>
      <c r="E553" s="818"/>
      <c r="F553" s="818"/>
      <c r="G553" s="818"/>
      <c r="H553" s="818"/>
      <c r="I553" s="617"/>
      <c r="J553" s="617"/>
      <c r="K553" s="617"/>
      <c r="L553" s="617"/>
      <c r="M553" s="617"/>
      <c r="N553" s="617"/>
      <c r="O553" s="617"/>
      <c r="P553" s="615"/>
    </row>
    <row r="554" spans="1:16" ht="96" customHeight="1" x14ac:dyDescent="0.25">
      <c r="A554" s="819" t="s">
        <v>328</v>
      </c>
      <c r="B554" s="819"/>
      <c r="C554" s="819"/>
      <c r="D554" s="819"/>
      <c r="E554" s="819"/>
      <c r="F554" s="819"/>
      <c r="G554" s="819"/>
      <c r="H554" s="819"/>
      <c r="I554" s="819"/>
      <c r="J554" s="819"/>
      <c r="K554" s="819"/>
      <c r="L554" s="819"/>
      <c r="M554" s="819"/>
      <c r="N554" s="819"/>
      <c r="O554" s="819"/>
      <c r="P554" s="615"/>
    </row>
    <row r="555" spans="1:16" ht="6" customHeight="1" x14ac:dyDescent="0.25">
      <c r="A555" s="615"/>
      <c r="B555" s="615"/>
      <c r="C555" s="615"/>
      <c r="D555" s="615"/>
      <c r="E555" s="615"/>
      <c r="F555" s="615"/>
      <c r="G555" s="615"/>
      <c r="H555" s="615"/>
      <c r="I555" s="615"/>
      <c r="J555" s="615"/>
      <c r="K555" s="615"/>
      <c r="L555" s="615"/>
      <c r="M555" s="615"/>
      <c r="N555" s="615"/>
      <c r="O555" s="615"/>
      <c r="P555" s="615"/>
    </row>
    <row r="556" spans="1:16" x14ac:dyDescent="0.25">
      <c r="A556" s="616" t="s">
        <v>64</v>
      </c>
      <c r="B556" s="615"/>
      <c r="C556" s="615"/>
      <c r="D556" s="615"/>
      <c r="E556" s="615"/>
      <c r="F556" s="615"/>
      <c r="G556" s="615"/>
      <c r="H556" s="615"/>
      <c r="I556" s="615"/>
      <c r="J556" s="820"/>
      <c r="K556" s="820"/>
      <c r="L556" s="820"/>
      <c r="M556" s="820"/>
      <c r="N556" s="820"/>
      <c r="O556" s="820"/>
      <c r="P556" s="615"/>
    </row>
    <row r="557" spans="1:16" ht="57.75" customHeight="1" x14ac:dyDescent="0.25">
      <c r="A557" s="819" t="s">
        <v>324</v>
      </c>
      <c r="B557" s="821"/>
      <c r="C557" s="821"/>
      <c r="D557" s="821"/>
      <c r="E557" s="821"/>
      <c r="F557" s="821"/>
      <c r="G557" s="821"/>
      <c r="H557" s="821"/>
      <c r="I557" s="821"/>
      <c r="J557" s="821"/>
      <c r="K557" s="821"/>
      <c r="L557" s="821"/>
      <c r="M557" s="821"/>
      <c r="N557" s="821"/>
      <c r="O557" s="821"/>
      <c r="P557" s="615"/>
    </row>
    <row r="558" spans="1:16" ht="6" customHeight="1" x14ac:dyDescent="0.25">
      <c r="A558" s="615"/>
      <c r="B558" s="615"/>
      <c r="C558" s="615"/>
      <c r="D558" s="615"/>
      <c r="E558" s="615"/>
      <c r="F558" s="615"/>
      <c r="G558" s="615"/>
      <c r="H558" s="615"/>
      <c r="I558" s="615"/>
      <c r="J558" s="615"/>
      <c r="K558" s="615"/>
      <c r="L558" s="615"/>
      <c r="M558" s="615"/>
      <c r="N558" s="615"/>
      <c r="O558" s="615"/>
      <c r="P558" s="615"/>
    </row>
    <row r="559" spans="1:16" x14ac:dyDescent="0.25">
      <c r="A559" s="4" t="s">
        <v>252</v>
      </c>
    </row>
    <row r="560" spans="1:16" ht="5.25" customHeight="1" x14ac:dyDescent="0.25"/>
    <row r="561" spans="1:16" ht="30" customHeight="1" x14ac:dyDescent="0.25">
      <c r="A561" s="822" t="s">
        <v>65</v>
      </c>
      <c r="B561" s="822"/>
      <c r="C561" s="822"/>
      <c r="D561" s="822" t="s">
        <v>66</v>
      </c>
      <c r="E561" s="822"/>
      <c r="F561" s="822"/>
      <c r="G561" s="822"/>
      <c r="H561" s="823" t="s">
        <v>318</v>
      </c>
      <c r="I561" s="823"/>
      <c r="J561" s="823"/>
      <c r="K561" s="823"/>
      <c r="L561" s="823"/>
      <c r="M561" s="823"/>
    </row>
    <row r="562" spans="1:16" x14ac:dyDescent="0.25">
      <c r="A562" s="828">
        <v>1</v>
      </c>
      <c r="B562" s="828"/>
      <c r="C562" s="828"/>
      <c r="D562" s="828">
        <v>2</v>
      </c>
      <c r="E562" s="828"/>
      <c r="F562" s="828"/>
      <c r="G562" s="828"/>
      <c r="H562" s="828">
        <v>3</v>
      </c>
      <c r="I562" s="828"/>
      <c r="J562" s="828"/>
      <c r="K562" s="828"/>
      <c r="L562" s="828"/>
      <c r="M562" s="828"/>
    </row>
    <row r="563" spans="1:16" ht="31.5" customHeight="1" x14ac:dyDescent="0.25">
      <c r="A563" s="857" t="s">
        <v>326</v>
      </c>
      <c r="B563" s="820"/>
      <c r="C563" s="858"/>
      <c r="D563" s="859" t="s">
        <v>325</v>
      </c>
      <c r="E563" s="860"/>
      <c r="F563" s="860"/>
      <c r="G563" s="861"/>
      <c r="H563" s="822" t="s">
        <v>244</v>
      </c>
      <c r="I563" s="822"/>
      <c r="J563" s="822"/>
      <c r="K563" s="822"/>
      <c r="L563" s="822"/>
      <c r="M563" s="822"/>
    </row>
    <row r="564" spans="1:16" ht="13.9" hidden="1" x14ac:dyDescent="0.25">
      <c r="A564" s="824"/>
      <c r="B564" s="825"/>
      <c r="C564" s="826"/>
      <c r="D564" s="824"/>
      <c r="E564" s="825"/>
      <c r="F564" s="825"/>
      <c r="G564" s="826"/>
      <c r="H564" s="822"/>
      <c r="I564" s="822"/>
      <c r="J564" s="822"/>
      <c r="K564" s="822"/>
      <c r="L564" s="822"/>
      <c r="M564" s="822"/>
    </row>
    <row r="566" spans="1:16" ht="13.9" hidden="1" x14ac:dyDescent="0.25"/>
    <row r="567" spans="1:16" ht="51" customHeight="1" x14ac:dyDescent="0.25">
      <c r="A567" s="187" t="s">
        <v>67</v>
      </c>
      <c r="B567" s="187"/>
      <c r="C567" s="187"/>
      <c r="D567" s="187"/>
      <c r="E567" s="187"/>
      <c r="F567" s="187"/>
      <c r="G567" s="200"/>
      <c r="H567" s="816" t="s">
        <v>319</v>
      </c>
      <c r="I567" s="816"/>
      <c r="J567" s="816"/>
      <c r="K567" s="816"/>
      <c r="L567" s="816"/>
      <c r="M567" s="816"/>
      <c r="N567" s="816"/>
      <c r="O567" s="816"/>
    </row>
    <row r="568" spans="1:16" x14ac:dyDescent="0.25">
      <c r="A568" s="187" t="s">
        <v>68</v>
      </c>
      <c r="B568" s="187"/>
      <c r="C568" s="187"/>
      <c r="D568" s="187"/>
      <c r="E568" s="187"/>
      <c r="F568" s="187"/>
      <c r="G568" s="187"/>
      <c r="H568" s="200"/>
      <c r="I568" s="200" t="s">
        <v>302</v>
      </c>
      <c r="J568" s="200"/>
      <c r="K568" s="200"/>
      <c r="L568" s="200"/>
      <c r="M568" s="200"/>
      <c r="N568" s="200"/>
      <c r="O568" s="200"/>
    </row>
    <row r="569" spans="1:16" ht="27" customHeight="1" x14ac:dyDescent="0.25">
      <c r="A569" s="281" t="s">
        <v>69</v>
      </c>
      <c r="B569" s="281"/>
      <c r="C569" s="281"/>
      <c r="D569" s="281"/>
      <c r="E569" s="281"/>
      <c r="F569" s="281"/>
      <c r="G569" s="282"/>
      <c r="H569" s="856" t="s">
        <v>320</v>
      </c>
      <c r="I569" s="856"/>
      <c r="J569" s="856"/>
      <c r="K569" s="856"/>
      <c r="L569" s="856"/>
      <c r="M569" s="856"/>
      <c r="N569" s="856"/>
      <c r="O569" s="856"/>
      <c r="P569" s="856"/>
    </row>
    <row r="570" spans="1:16" s="650" customFormat="1" ht="17.25" customHeight="1" x14ac:dyDescent="0.2">
      <c r="A570" s="650" t="s">
        <v>329</v>
      </c>
      <c r="G570" s="651"/>
      <c r="H570" s="652"/>
      <c r="I570" s="652"/>
      <c r="J570" s="652"/>
      <c r="K570" s="652"/>
      <c r="L570" s="652"/>
      <c r="M570" s="652"/>
      <c r="N570" s="652"/>
      <c r="O570" s="652"/>
    </row>
    <row r="571" spans="1:16" x14ac:dyDescent="0.25">
      <c r="A571" s="187" t="s">
        <v>70</v>
      </c>
      <c r="B571" s="187"/>
      <c r="C571" s="187"/>
      <c r="D571" s="187"/>
      <c r="E571" s="187"/>
      <c r="F571" s="187"/>
      <c r="G571" s="279"/>
      <c r="H571" s="279"/>
      <c r="I571" s="279"/>
      <c r="J571" s="279"/>
      <c r="K571" s="279"/>
      <c r="L571" s="279"/>
      <c r="M571" s="279"/>
      <c r="N571" s="279"/>
      <c r="O571" s="279"/>
    </row>
    <row r="572" spans="1:16" x14ac:dyDescent="0.25">
      <c r="A572" s="200"/>
      <c r="B572" s="200"/>
      <c r="C572" s="200"/>
      <c r="D572" s="200"/>
      <c r="E572" s="200"/>
      <c r="F572" s="200"/>
      <c r="G572" s="200"/>
      <c r="H572" s="200"/>
      <c r="I572" s="200"/>
      <c r="J572" s="200"/>
      <c r="K572" s="200"/>
      <c r="L572" s="200"/>
      <c r="M572" s="200"/>
      <c r="N572" s="200"/>
      <c r="O572" s="200"/>
    </row>
    <row r="573" spans="1:16" x14ac:dyDescent="0.25">
      <c r="A573" s="187"/>
      <c r="B573" s="187"/>
      <c r="C573" s="187"/>
      <c r="D573" s="187"/>
      <c r="E573" s="187"/>
      <c r="F573" s="187"/>
      <c r="G573" s="187"/>
      <c r="H573" s="187"/>
      <c r="I573" s="187"/>
      <c r="J573" s="187"/>
      <c r="K573" s="187"/>
      <c r="L573" s="187"/>
      <c r="M573" s="187"/>
      <c r="N573" s="187"/>
      <c r="O573" s="187"/>
    </row>
    <row r="574" spans="1:16" x14ac:dyDescent="0.25">
      <c r="A574" s="187" t="s">
        <v>71</v>
      </c>
      <c r="B574" s="187"/>
      <c r="C574" s="187"/>
      <c r="D574" s="187"/>
      <c r="E574" s="187"/>
      <c r="F574" s="187"/>
      <c r="G574" s="200"/>
      <c r="H574" s="200"/>
      <c r="I574" s="200"/>
      <c r="J574" s="200"/>
      <c r="K574" s="200"/>
      <c r="L574" s="200"/>
      <c r="M574" s="200"/>
      <c r="N574" s="200"/>
      <c r="O574" s="200"/>
    </row>
    <row r="575" spans="1:16" x14ac:dyDescent="0.25">
      <c r="A575" s="820"/>
      <c r="B575" s="820"/>
      <c r="C575" s="820"/>
      <c r="D575" s="820"/>
      <c r="E575" s="820"/>
      <c r="F575" s="820"/>
      <c r="G575" s="820"/>
      <c r="H575" s="820"/>
      <c r="I575" s="820"/>
      <c r="J575" s="820"/>
      <c r="K575" s="820"/>
      <c r="L575" s="820"/>
      <c r="M575" s="820"/>
      <c r="N575" s="820"/>
      <c r="O575" s="820"/>
    </row>
    <row r="576" spans="1:16" ht="13.5" customHeight="1" x14ac:dyDescent="0.25"/>
    <row r="577" spans="1:18" ht="13.9" hidden="1" x14ac:dyDescent="0.25"/>
    <row r="578" spans="1:18" ht="13.9" hidden="1" x14ac:dyDescent="0.25"/>
    <row r="579" spans="1:18" s="653" customFormat="1" ht="11.25" customHeight="1" x14ac:dyDescent="0.2">
      <c r="A579" s="804" t="s">
        <v>469</v>
      </c>
      <c r="B579" s="804"/>
      <c r="C579" s="804"/>
      <c r="D579" s="804"/>
      <c r="E579" s="804"/>
      <c r="F579" s="804"/>
      <c r="G579" s="804"/>
      <c r="H579" s="804"/>
      <c r="I579" s="804"/>
      <c r="J579" s="804"/>
      <c r="K579" s="804"/>
      <c r="L579" s="804"/>
      <c r="M579" s="804"/>
      <c r="N579" s="804"/>
      <c r="O579" s="804"/>
      <c r="P579" s="804"/>
      <c r="Q579" s="804"/>
      <c r="R579" s="804"/>
    </row>
    <row r="580" spans="1:18" s="653" customFormat="1" ht="24.75" customHeight="1" x14ac:dyDescent="0.2">
      <c r="A580" s="805" t="s">
        <v>470</v>
      </c>
      <c r="B580" s="805"/>
      <c r="C580" s="805"/>
      <c r="D580" s="805"/>
      <c r="E580" s="805"/>
      <c r="F580" s="805"/>
      <c r="G580" s="805"/>
      <c r="H580" s="805"/>
      <c r="I580" s="805"/>
      <c r="J580" s="805"/>
      <c r="K580" s="805"/>
      <c r="L580" s="805"/>
      <c r="M580" s="805"/>
      <c r="N580" s="805"/>
      <c r="O580" s="805"/>
      <c r="P580" s="805"/>
      <c r="Q580" s="805"/>
      <c r="R580" s="805"/>
    </row>
    <row r="581" spans="1:18" s="653" customFormat="1" ht="35.25" customHeight="1" x14ac:dyDescent="0.2">
      <c r="A581" s="805" t="s">
        <v>471</v>
      </c>
      <c r="B581" s="805"/>
      <c r="C581" s="805"/>
      <c r="D581" s="805"/>
      <c r="E581" s="805"/>
      <c r="F581" s="805"/>
      <c r="G581" s="805"/>
      <c r="H581" s="805"/>
      <c r="I581" s="805"/>
      <c r="J581" s="805"/>
      <c r="K581" s="805"/>
      <c r="L581" s="805"/>
      <c r="M581" s="805"/>
      <c r="N581" s="805"/>
      <c r="O581" s="805"/>
      <c r="P581" s="805"/>
      <c r="Q581" s="805"/>
      <c r="R581" s="805"/>
    </row>
    <row r="582" spans="1:18" s="653" customFormat="1" ht="12" x14ac:dyDescent="0.2">
      <c r="A582" s="653" t="s">
        <v>472</v>
      </c>
    </row>
    <row r="583" spans="1:18" s="653" customFormat="1" ht="12" x14ac:dyDescent="0.2">
      <c r="A583" s="653" t="s">
        <v>473</v>
      </c>
    </row>
    <row r="584" spans="1:18" s="653" customFormat="1" ht="29.25" customHeight="1" x14ac:dyDescent="0.2">
      <c r="A584" s="805" t="s">
        <v>474</v>
      </c>
      <c r="B584" s="805"/>
      <c r="C584" s="805"/>
      <c r="D584" s="805"/>
      <c r="E584" s="805"/>
      <c r="F584" s="805"/>
      <c r="G584" s="805"/>
      <c r="H584" s="805"/>
      <c r="I584" s="805"/>
      <c r="J584" s="805"/>
      <c r="K584" s="805"/>
      <c r="L584" s="805"/>
      <c r="M584" s="805"/>
      <c r="N584" s="805"/>
      <c r="O584" s="805"/>
      <c r="P584" s="805"/>
      <c r="Q584" s="805"/>
      <c r="R584" s="805"/>
    </row>
    <row r="585" spans="1:18" s="653" customFormat="1" ht="29.25" customHeight="1" x14ac:dyDescent="0.2">
      <c r="A585" s="805" t="s">
        <v>475</v>
      </c>
      <c r="B585" s="805"/>
      <c r="C585" s="805"/>
      <c r="D585" s="805"/>
      <c r="E585" s="805"/>
      <c r="F585" s="805"/>
      <c r="G585" s="805"/>
      <c r="H585" s="805"/>
      <c r="I585" s="805"/>
      <c r="J585" s="805"/>
      <c r="K585" s="805"/>
      <c r="L585" s="805"/>
      <c r="M585" s="805"/>
      <c r="N585" s="805"/>
      <c r="O585" s="805"/>
      <c r="P585" s="805"/>
      <c r="Q585" s="805"/>
      <c r="R585" s="805"/>
    </row>
    <row r="586" spans="1:18" s="653" customFormat="1" ht="12" x14ac:dyDescent="0.2">
      <c r="A586" s="653" t="s">
        <v>476</v>
      </c>
    </row>
    <row r="587" spans="1:18" s="653" customFormat="1" ht="73.5" customHeight="1" x14ac:dyDescent="0.2">
      <c r="A587" s="805" t="s">
        <v>477</v>
      </c>
      <c r="B587" s="805"/>
      <c r="C587" s="805"/>
      <c r="D587" s="805"/>
      <c r="E587" s="805"/>
      <c r="F587" s="805"/>
      <c r="G587" s="805"/>
      <c r="H587" s="805"/>
      <c r="I587" s="805"/>
      <c r="J587" s="805"/>
      <c r="K587" s="805"/>
      <c r="L587" s="805"/>
      <c r="M587" s="805"/>
      <c r="N587" s="805"/>
      <c r="O587" s="805"/>
      <c r="P587" s="805"/>
      <c r="Q587" s="805"/>
      <c r="R587" s="805"/>
    </row>
  </sheetData>
  <mergeCells count="917">
    <mergeCell ref="A422:L422"/>
    <mergeCell ref="A426:C426"/>
    <mergeCell ref="D426:G426"/>
    <mergeCell ref="H426:K426"/>
    <mergeCell ref="A427:C427"/>
    <mergeCell ref="D427:G427"/>
    <mergeCell ref="H427:K427"/>
    <mergeCell ref="A428:C428"/>
    <mergeCell ref="D428:G428"/>
    <mergeCell ref="H428:K428"/>
    <mergeCell ref="B413:D413"/>
    <mergeCell ref="G413:P413"/>
    <mergeCell ref="B414:D414"/>
    <mergeCell ref="G414:P414"/>
    <mergeCell ref="B415:D415"/>
    <mergeCell ref="G415:P415"/>
    <mergeCell ref="B416:D416"/>
    <mergeCell ref="G416:P416"/>
    <mergeCell ref="A421:P421"/>
    <mergeCell ref="A395:B395"/>
    <mergeCell ref="A396:B396"/>
    <mergeCell ref="A397:B397"/>
    <mergeCell ref="C406:D406"/>
    <mergeCell ref="A410:P410"/>
    <mergeCell ref="B411:D411"/>
    <mergeCell ref="G411:P411"/>
    <mergeCell ref="B412:D412"/>
    <mergeCell ref="G412:P412"/>
    <mergeCell ref="C388:D388"/>
    <mergeCell ref="A392:B394"/>
    <mergeCell ref="C392:E392"/>
    <mergeCell ref="F392:G392"/>
    <mergeCell ref="H392:J392"/>
    <mergeCell ref="K392:M392"/>
    <mergeCell ref="N392:P392"/>
    <mergeCell ref="Q392:R392"/>
    <mergeCell ref="C393:C394"/>
    <mergeCell ref="D393:D394"/>
    <mergeCell ref="E393:E394"/>
    <mergeCell ref="F393:F394"/>
    <mergeCell ref="G393:G394"/>
    <mergeCell ref="H393:H394"/>
    <mergeCell ref="I393:J393"/>
    <mergeCell ref="K393:K394"/>
    <mergeCell ref="L393:L394"/>
    <mergeCell ref="M393:M394"/>
    <mergeCell ref="N393:N394"/>
    <mergeCell ref="O393:O394"/>
    <mergeCell ref="P393:P394"/>
    <mergeCell ref="Q393:Q394"/>
    <mergeCell ref="R393:R394"/>
    <mergeCell ref="A383:B383"/>
    <mergeCell ref="H383:I383"/>
    <mergeCell ref="J383:K383"/>
    <mergeCell ref="O383:P383"/>
    <mergeCell ref="A384:B384"/>
    <mergeCell ref="H384:I384"/>
    <mergeCell ref="J384:K384"/>
    <mergeCell ref="O384:P384"/>
    <mergeCell ref="A385:B385"/>
    <mergeCell ref="H385:I385"/>
    <mergeCell ref="J385:K385"/>
    <mergeCell ref="O385:P385"/>
    <mergeCell ref="A380:B380"/>
    <mergeCell ref="H380:I380"/>
    <mergeCell ref="J380:K380"/>
    <mergeCell ref="O380:P380"/>
    <mergeCell ref="A381:B381"/>
    <mergeCell ref="H381:I381"/>
    <mergeCell ref="J381:K381"/>
    <mergeCell ref="O381:P381"/>
    <mergeCell ref="A382:B382"/>
    <mergeCell ref="H382:I382"/>
    <mergeCell ref="J382:K382"/>
    <mergeCell ref="O382:P382"/>
    <mergeCell ref="J376:K376"/>
    <mergeCell ref="A377:B377"/>
    <mergeCell ref="H377:I377"/>
    <mergeCell ref="J377:K377"/>
    <mergeCell ref="A378:B378"/>
    <mergeCell ref="H378:I378"/>
    <mergeCell ref="J378:K378"/>
    <mergeCell ref="A379:B379"/>
    <mergeCell ref="H379:I379"/>
    <mergeCell ref="J379:K379"/>
    <mergeCell ref="A363:P363"/>
    <mergeCell ref="E365:L365"/>
    <mergeCell ref="M365:N367"/>
    <mergeCell ref="O365:P367"/>
    <mergeCell ref="A366:L366"/>
    <mergeCell ref="A368:N368"/>
    <mergeCell ref="A374:B376"/>
    <mergeCell ref="C374:E374"/>
    <mergeCell ref="F374:G374"/>
    <mergeCell ref="H374:L374"/>
    <mergeCell ref="M374:O374"/>
    <mergeCell ref="P374:Q374"/>
    <mergeCell ref="C375:C376"/>
    <mergeCell ref="D375:D376"/>
    <mergeCell ref="E375:E376"/>
    <mergeCell ref="F375:F376"/>
    <mergeCell ref="G375:G376"/>
    <mergeCell ref="H375:I376"/>
    <mergeCell ref="J375:L375"/>
    <mergeCell ref="M375:M376"/>
    <mergeCell ref="N375:N376"/>
    <mergeCell ref="O375:O376"/>
    <mergeCell ref="P375:P376"/>
    <mergeCell ref="Q375:Q376"/>
    <mergeCell ref="A356:L356"/>
    <mergeCell ref="A360:C360"/>
    <mergeCell ref="D360:G360"/>
    <mergeCell ref="H360:K360"/>
    <mergeCell ref="A361:C361"/>
    <mergeCell ref="D361:G361"/>
    <mergeCell ref="H361:K361"/>
    <mergeCell ref="A362:C362"/>
    <mergeCell ref="D362:G362"/>
    <mergeCell ref="H362:K362"/>
    <mergeCell ref="B347:D347"/>
    <mergeCell ref="G347:P347"/>
    <mergeCell ref="B348:D348"/>
    <mergeCell ref="G348:P348"/>
    <mergeCell ref="B349:D349"/>
    <mergeCell ref="G349:P349"/>
    <mergeCell ref="B350:D350"/>
    <mergeCell ref="G350:P350"/>
    <mergeCell ref="A355:P355"/>
    <mergeCell ref="A329:B329"/>
    <mergeCell ref="A330:B330"/>
    <mergeCell ref="A331:B331"/>
    <mergeCell ref="C340:D340"/>
    <mergeCell ref="A344:P344"/>
    <mergeCell ref="B345:D345"/>
    <mergeCell ref="G345:P345"/>
    <mergeCell ref="B346:D346"/>
    <mergeCell ref="G346:P346"/>
    <mergeCell ref="C322:D322"/>
    <mergeCell ref="A326:B328"/>
    <mergeCell ref="C326:E326"/>
    <mergeCell ref="F326:G326"/>
    <mergeCell ref="H326:J326"/>
    <mergeCell ref="K326:M326"/>
    <mergeCell ref="N326:P326"/>
    <mergeCell ref="Q326:R326"/>
    <mergeCell ref="C327:C328"/>
    <mergeCell ref="D327:D328"/>
    <mergeCell ref="E327:E328"/>
    <mergeCell ref="F327:F328"/>
    <mergeCell ref="G327:G328"/>
    <mergeCell ref="H327:H328"/>
    <mergeCell ref="I327:J327"/>
    <mergeCell ref="K327:K328"/>
    <mergeCell ref="L327:L328"/>
    <mergeCell ref="M327:M328"/>
    <mergeCell ref="N327:N328"/>
    <mergeCell ref="O327:O328"/>
    <mergeCell ref="P327:P328"/>
    <mergeCell ref="Q327:Q328"/>
    <mergeCell ref="R327:R328"/>
    <mergeCell ref="A317:B317"/>
    <mergeCell ref="H317:I317"/>
    <mergeCell ref="J317:K317"/>
    <mergeCell ref="O317:P317"/>
    <mergeCell ref="A318:B318"/>
    <mergeCell ref="H318:I318"/>
    <mergeCell ref="J318:K318"/>
    <mergeCell ref="O318:P318"/>
    <mergeCell ref="A319:B319"/>
    <mergeCell ref="H319:I319"/>
    <mergeCell ref="J319:K319"/>
    <mergeCell ref="O319:P319"/>
    <mergeCell ref="A314:B314"/>
    <mergeCell ref="H314:I314"/>
    <mergeCell ref="J314:K314"/>
    <mergeCell ref="O314:P314"/>
    <mergeCell ref="A315:B315"/>
    <mergeCell ref="H315:I315"/>
    <mergeCell ref="J315:K315"/>
    <mergeCell ref="O315:P315"/>
    <mergeCell ref="A316:B316"/>
    <mergeCell ref="H316:I316"/>
    <mergeCell ref="J316:K316"/>
    <mergeCell ref="O316:P316"/>
    <mergeCell ref="J310:K310"/>
    <mergeCell ref="A311:B311"/>
    <mergeCell ref="H311:I311"/>
    <mergeCell ref="J311:K311"/>
    <mergeCell ref="A312:B312"/>
    <mergeCell ref="H312:I312"/>
    <mergeCell ref="J312:K312"/>
    <mergeCell ref="A313:B313"/>
    <mergeCell ref="H313:I313"/>
    <mergeCell ref="J313:K313"/>
    <mergeCell ref="A297:P297"/>
    <mergeCell ref="E299:L299"/>
    <mergeCell ref="M299:N301"/>
    <mergeCell ref="O299:P301"/>
    <mergeCell ref="A300:L300"/>
    <mergeCell ref="A302:N302"/>
    <mergeCell ref="A308:B310"/>
    <mergeCell ref="C308:E308"/>
    <mergeCell ref="F308:G308"/>
    <mergeCell ref="H308:L308"/>
    <mergeCell ref="M308:O308"/>
    <mergeCell ref="P308:Q308"/>
    <mergeCell ref="C309:C310"/>
    <mergeCell ref="D309:D310"/>
    <mergeCell ref="E309:E310"/>
    <mergeCell ref="F309:F310"/>
    <mergeCell ref="G309:G310"/>
    <mergeCell ref="H309:I310"/>
    <mergeCell ref="J309:L309"/>
    <mergeCell ref="M309:M310"/>
    <mergeCell ref="N309:N310"/>
    <mergeCell ref="O309:O310"/>
    <mergeCell ref="P309:P310"/>
    <mergeCell ref="Q309:Q310"/>
    <mergeCell ref="A8:P8"/>
    <mergeCell ref="A9:P9"/>
    <mergeCell ref="O10:P10"/>
    <mergeCell ref="M11:N11"/>
    <mergeCell ref="O11:P11"/>
    <mergeCell ref="O12:P12"/>
    <mergeCell ref="A17:L17"/>
    <mergeCell ref="O17:P17"/>
    <mergeCell ref="O19:P20"/>
    <mergeCell ref="A20:L20"/>
    <mergeCell ref="A21:J21"/>
    <mergeCell ref="A24:P24"/>
    <mergeCell ref="O13:P14"/>
    <mergeCell ref="A14:L14"/>
    <mergeCell ref="M14:N14"/>
    <mergeCell ref="O15:P15"/>
    <mergeCell ref="A16:L16"/>
    <mergeCell ref="O16:P16"/>
    <mergeCell ref="A25:P25"/>
    <mergeCell ref="O18:P18"/>
    <mergeCell ref="E27:L27"/>
    <mergeCell ref="O27:P29"/>
    <mergeCell ref="A28:L28"/>
    <mergeCell ref="A30:N30"/>
    <mergeCell ref="A36:B38"/>
    <mergeCell ref="C36:E36"/>
    <mergeCell ref="F36:G36"/>
    <mergeCell ref="H36:L36"/>
    <mergeCell ref="M36:O36"/>
    <mergeCell ref="J37:L37"/>
    <mergeCell ref="M37:M38"/>
    <mergeCell ref="N37:N38"/>
    <mergeCell ref="O37:O38"/>
    <mergeCell ref="J38:K38"/>
    <mergeCell ref="M27:N29"/>
    <mergeCell ref="P36:Q36"/>
    <mergeCell ref="P37:P38"/>
    <mergeCell ref="Q37:Q38"/>
    <mergeCell ref="A39:B39"/>
    <mergeCell ref="H39:I39"/>
    <mergeCell ref="J39:K39"/>
    <mergeCell ref="C37:C38"/>
    <mergeCell ref="D37:D38"/>
    <mergeCell ref="E37:E38"/>
    <mergeCell ref="F37:F38"/>
    <mergeCell ref="G37:G38"/>
    <mergeCell ref="H37:I38"/>
    <mergeCell ref="A42:B42"/>
    <mergeCell ref="H42:I42"/>
    <mergeCell ref="J42:K42"/>
    <mergeCell ref="O42:P42"/>
    <mergeCell ref="A43:B43"/>
    <mergeCell ref="H43:I43"/>
    <mergeCell ref="J43:K43"/>
    <mergeCell ref="O43:P43"/>
    <mergeCell ref="A40:B40"/>
    <mergeCell ref="H40:I40"/>
    <mergeCell ref="J40:K40"/>
    <mergeCell ref="A41:B41"/>
    <mergeCell ref="H41:I41"/>
    <mergeCell ref="J41:K41"/>
    <mergeCell ref="O46:P46"/>
    <mergeCell ref="A47:B47"/>
    <mergeCell ref="H47:I47"/>
    <mergeCell ref="J47:K47"/>
    <mergeCell ref="O47:P47"/>
    <mergeCell ref="A44:B44"/>
    <mergeCell ref="H44:I44"/>
    <mergeCell ref="J44:K44"/>
    <mergeCell ref="O44:P44"/>
    <mergeCell ref="A45:B45"/>
    <mergeCell ref="H45:I45"/>
    <mergeCell ref="J45:K45"/>
    <mergeCell ref="O45:P45"/>
    <mergeCell ref="C50:D50"/>
    <mergeCell ref="A54:B56"/>
    <mergeCell ref="C54:E54"/>
    <mergeCell ref="F54:G54"/>
    <mergeCell ref="H54:J54"/>
    <mergeCell ref="K54:M54"/>
    <mergeCell ref="M55:M56"/>
    <mergeCell ref="A46:B46"/>
    <mergeCell ref="H46:I46"/>
    <mergeCell ref="J46:K46"/>
    <mergeCell ref="C68:D68"/>
    <mergeCell ref="A72:P72"/>
    <mergeCell ref="B73:D73"/>
    <mergeCell ref="G73:P73"/>
    <mergeCell ref="B74:D74"/>
    <mergeCell ref="G74:P74"/>
    <mergeCell ref="N55:N56"/>
    <mergeCell ref="O55:O56"/>
    <mergeCell ref="P55:P56"/>
    <mergeCell ref="A57:B57"/>
    <mergeCell ref="A58:B58"/>
    <mergeCell ref="A59:B59"/>
    <mergeCell ref="C55:C56"/>
    <mergeCell ref="D55:D56"/>
    <mergeCell ref="E55:E56"/>
    <mergeCell ref="F55:F56"/>
    <mergeCell ref="G55:G56"/>
    <mergeCell ref="H55:H56"/>
    <mergeCell ref="I55:J55"/>
    <mergeCell ref="K55:K56"/>
    <mergeCell ref="L55:L56"/>
    <mergeCell ref="B78:D78"/>
    <mergeCell ref="G78:P78"/>
    <mergeCell ref="A83:P83"/>
    <mergeCell ref="A84:L84"/>
    <mergeCell ref="A88:C88"/>
    <mergeCell ref="D88:G88"/>
    <mergeCell ref="H88:K88"/>
    <mergeCell ref="B75:D75"/>
    <mergeCell ref="G75:P75"/>
    <mergeCell ref="B76:D76"/>
    <mergeCell ref="G76:P76"/>
    <mergeCell ref="B77:D77"/>
    <mergeCell ref="G77:P77"/>
    <mergeCell ref="A91:C91"/>
    <mergeCell ref="D91:G91"/>
    <mergeCell ref="H91:K91"/>
    <mergeCell ref="A92:C92"/>
    <mergeCell ref="D92:G92"/>
    <mergeCell ref="H92:K92"/>
    <mergeCell ref="A89:C89"/>
    <mergeCell ref="D89:G89"/>
    <mergeCell ref="H89:K89"/>
    <mergeCell ref="A90:C90"/>
    <mergeCell ref="D90:G90"/>
    <mergeCell ref="H90:K90"/>
    <mergeCell ref="C105:C106"/>
    <mergeCell ref="D105:D106"/>
    <mergeCell ref="E105:E106"/>
    <mergeCell ref="F105:F106"/>
    <mergeCell ref="G105:G106"/>
    <mergeCell ref="H105:I106"/>
    <mergeCell ref="A93:P93"/>
    <mergeCell ref="E95:L95"/>
    <mergeCell ref="O95:P97"/>
    <mergeCell ref="A96:L96"/>
    <mergeCell ref="A98:N98"/>
    <mergeCell ref="A104:B106"/>
    <mergeCell ref="C104:E104"/>
    <mergeCell ref="F104:G104"/>
    <mergeCell ref="H104:L104"/>
    <mergeCell ref="M104:O104"/>
    <mergeCell ref="J105:L105"/>
    <mergeCell ref="M105:M106"/>
    <mergeCell ref="N105:N106"/>
    <mergeCell ref="O105:O106"/>
    <mergeCell ref="J106:K106"/>
    <mergeCell ref="A108:B108"/>
    <mergeCell ref="H108:I108"/>
    <mergeCell ref="J108:K108"/>
    <mergeCell ref="A109:B109"/>
    <mergeCell ref="H109:I109"/>
    <mergeCell ref="J109:K109"/>
    <mergeCell ref="A107:B107"/>
    <mergeCell ref="H107:I107"/>
    <mergeCell ref="J107:K107"/>
    <mergeCell ref="A112:B112"/>
    <mergeCell ref="H112:I112"/>
    <mergeCell ref="J112:K112"/>
    <mergeCell ref="O112:P112"/>
    <mergeCell ref="A113:B113"/>
    <mergeCell ref="H113:I113"/>
    <mergeCell ref="J113:K113"/>
    <mergeCell ref="O113:P113"/>
    <mergeCell ref="A110:B110"/>
    <mergeCell ref="H110:I110"/>
    <mergeCell ref="J110:K110"/>
    <mergeCell ref="O110:P110"/>
    <mergeCell ref="A111:B111"/>
    <mergeCell ref="H111:I111"/>
    <mergeCell ref="J111:K111"/>
    <mergeCell ref="O111:P111"/>
    <mergeCell ref="C118:D118"/>
    <mergeCell ref="A122:B124"/>
    <mergeCell ref="C122:E122"/>
    <mergeCell ref="F122:G122"/>
    <mergeCell ref="H122:J122"/>
    <mergeCell ref="K122:M122"/>
    <mergeCell ref="M123:M124"/>
    <mergeCell ref="A114:B114"/>
    <mergeCell ref="H114:I114"/>
    <mergeCell ref="J114:K114"/>
    <mergeCell ref="A115:B115"/>
    <mergeCell ref="H115:I115"/>
    <mergeCell ref="J115:K115"/>
    <mergeCell ref="C136:D136"/>
    <mergeCell ref="A140:P140"/>
    <mergeCell ref="B141:D141"/>
    <mergeCell ref="G141:P141"/>
    <mergeCell ref="B142:D142"/>
    <mergeCell ref="G142:P142"/>
    <mergeCell ref="N123:N124"/>
    <mergeCell ref="O123:O124"/>
    <mergeCell ref="P123:P124"/>
    <mergeCell ref="A125:B125"/>
    <mergeCell ref="A126:B126"/>
    <mergeCell ref="A127:B127"/>
    <mergeCell ref="C123:C124"/>
    <mergeCell ref="D123:D124"/>
    <mergeCell ref="E123:E124"/>
    <mergeCell ref="F123:F124"/>
    <mergeCell ref="G123:G124"/>
    <mergeCell ref="H123:H124"/>
    <mergeCell ref="I123:J123"/>
    <mergeCell ref="K123:K124"/>
    <mergeCell ref="L123:L124"/>
    <mergeCell ref="B146:D146"/>
    <mergeCell ref="G146:P146"/>
    <mergeCell ref="A151:P151"/>
    <mergeCell ref="A152:L152"/>
    <mergeCell ref="A156:C156"/>
    <mergeCell ref="D156:G156"/>
    <mergeCell ref="H156:K156"/>
    <mergeCell ref="B143:D143"/>
    <mergeCell ref="G143:P143"/>
    <mergeCell ref="B144:D144"/>
    <mergeCell ref="G144:P144"/>
    <mergeCell ref="B145:D145"/>
    <mergeCell ref="G145:P145"/>
    <mergeCell ref="A159:C159"/>
    <mergeCell ref="D159:G159"/>
    <mergeCell ref="H159:K159"/>
    <mergeCell ref="A160:C160"/>
    <mergeCell ref="D160:G160"/>
    <mergeCell ref="H160:K160"/>
    <mergeCell ref="A157:C157"/>
    <mergeCell ref="D157:G157"/>
    <mergeCell ref="H157:K157"/>
    <mergeCell ref="A158:C158"/>
    <mergeCell ref="D158:G158"/>
    <mergeCell ref="H158:K158"/>
    <mergeCell ref="A161:P161"/>
    <mergeCell ref="E163:L163"/>
    <mergeCell ref="O163:P165"/>
    <mergeCell ref="A164:L164"/>
    <mergeCell ref="A166:N166"/>
    <mergeCell ref="A172:B174"/>
    <mergeCell ref="C172:E172"/>
    <mergeCell ref="F172:G172"/>
    <mergeCell ref="H172:L172"/>
    <mergeCell ref="M172:O172"/>
    <mergeCell ref="J173:L173"/>
    <mergeCell ref="M173:M174"/>
    <mergeCell ref="N173:N174"/>
    <mergeCell ref="O173:O174"/>
    <mergeCell ref="J174:K174"/>
    <mergeCell ref="M163:N165"/>
    <mergeCell ref="P172:Q172"/>
    <mergeCell ref="P173:P174"/>
    <mergeCell ref="Q173:Q174"/>
    <mergeCell ref="A175:B175"/>
    <mergeCell ref="H175:I175"/>
    <mergeCell ref="J175:K175"/>
    <mergeCell ref="C173:C174"/>
    <mergeCell ref="D173:D174"/>
    <mergeCell ref="E173:E174"/>
    <mergeCell ref="F173:F174"/>
    <mergeCell ref="G173:G174"/>
    <mergeCell ref="H173:I174"/>
    <mergeCell ref="A178:B178"/>
    <mergeCell ref="H178:I178"/>
    <mergeCell ref="J178:K178"/>
    <mergeCell ref="O178:P178"/>
    <mergeCell ref="A179:B179"/>
    <mergeCell ref="H179:I179"/>
    <mergeCell ref="J179:K179"/>
    <mergeCell ref="O179:P179"/>
    <mergeCell ref="A176:B176"/>
    <mergeCell ref="H176:I176"/>
    <mergeCell ref="J176:K176"/>
    <mergeCell ref="A177:B177"/>
    <mergeCell ref="H177:I177"/>
    <mergeCell ref="J177:K177"/>
    <mergeCell ref="O182:P182"/>
    <mergeCell ref="A183:B183"/>
    <mergeCell ref="H183:I183"/>
    <mergeCell ref="J183:K183"/>
    <mergeCell ref="O183:P183"/>
    <mergeCell ref="A180:B180"/>
    <mergeCell ref="H180:I180"/>
    <mergeCell ref="J180:K180"/>
    <mergeCell ref="O180:P180"/>
    <mergeCell ref="A181:B181"/>
    <mergeCell ref="H181:I181"/>
    <mergeCell ref="J181:K181"/>
    <mergeCell ref="O181:P181"/>
    <mergeCell ref="C186:D186"/>
    <mergeCell ref="A190:B192"/>
    <mergeCell ref="C190:E190"/>
    <mergeCell ref="F190:G190"/>
    <mergeCell ref="H190:J190"/>
    <mergeCell ref="K190:M190"/>
    <mergeCell ref="M191:M192"/>
    <mergeCell ref="A182:B182"/>
    <mergeCell ref="H182:I182"/>
    <mergeCell ref="J182:K182"/>
    <mergeCell ref="C204:D204"/>
    <mergeCell ref="A208:P208"/>
    <mergeCell ref="B209:D209"/>
    <mergeCell ref="G209:P209"/>
    <mergeCell ref="B210:D210"/>
    <mergeCell ref="G210:P210"/>
    <mergeCell ref="N191:N192"/>
    <mergeCell ref="O191:O192"/>
    <mergeCell ref="P191:P192"/>
    <mergeCell ref="A193:B193"/>
    <mergeCell ref="A194:B194"/>
    <mergeCell ref="A195:B195"/>
    <mergeCell ref="C191:C192"/>
    <mergeCell ref="D191:D192"/>
    <mergeCell ref="E191:E192"/>
    <mergeCell ref="F191:F192"/>
    <mergeCell ref="G191:G192"/>
    <mergeCell ref="H191:H192"/>
    <mergeCell ref="I191:J191"/>
    <mergeCell ref="K191:K192"/>
    <mergeCell ref="L191:L192"/>
    <mergeCell ref="B214:D214"/>
    <mergeCell ref="G214:P214"/>
    <mergeCell ref="A219:P219"/>
    <mergeCell ref="A220:L220"/>
    <mergeCell ref="A224:C224"/>
    <mergeCell ref="D224:G224"/>
    <mergeCell ref="H224:K224"/>
    <mergeCell ref="B211:D211"/>
    <mergeCell ref="G211:P211"/>
    <mergeCell ref="B212:D212"/>
    <mergeCell ref="G212:P212"/>
    <mergeCell ref="B213:D213"/>
    <mergeCell ref="G213:P213"/>
    <mergeCell ref="A227:C227"/>
    <mergeCell ref="D227:G227"/>
    <mergeCell ref="H227:K227"/>
    <mergeCell ref="A228:C228"/>
    <mergeCell ref="D228:G228"/>
    <mergeCell ref="H228:K228"/>
    <mergeCell ref="A225:C225"/>
    <mergeCell ref="D225:G225"/>
    <mergeCell ref="H225:K225"/>
    <mergeCell ref="A226:C226"/>
    <mergeCell ref="D226:G226"/>
    <mergeCell ref="H226:K226"/>
    <mergeCell ref="C241:C242"/>
    <mergeCell ref="D241:D242"/>
    <mergeCell ref="E241:E242"/>
    <mergeCell ref="F241:F242"/>
    <mergeCell ref="G241:G242"/>
    <mergeCell ref="H241:I242"/>
    <mergeCell ref="A229:P229"/>
    <mergeCell ref="E231:L231"/>
    <mergeCell ref="O231:P233"/>
    <mergeCell ref="A232:L232"/>
    <mergeCell ref="A234:N234"/>
    <mergeCell ref="A240:B242"/>
    <mergeCell ref="C240:E240"/>
    <mergeCell ref="F240:G240"/>
    <mergeCell ref="H240:L240"/>
    <mergeCell ref="M240:O240"/>
    <mergeCell ref="J241:L241"/>
    <mergeCell ref="M241:M242"/>
    <mergeCell ref="N241:N242"/>
    <mergeCell ref="O241:O242"/>
    <mergeCell ref="J242:K242"/>
    <mergeCell ref="A244:B244"/>
    <mergeCell ref="H244:I244"/>
    <mergeCell ref="J244:K244"/>
    <mergeCell ref="A245:B245"/>
    <mergeCell ref="H245:I245"/>
    <mergeCell ref="J245:K245"/>
    <mergeCell ref="A243:B243"/>
    <mergeCell ref="H243:I243"/>
    <mergeCell ref="J243:K243"/>
    <mergeCell ref="A248:B248"/>
    <mergeCell ref="H248:I248"/>
    <mergeCell ref="J248:K248"/>
    <mergeCell ref="O248:P248"/>
    <mergeCell ref="A249:B249"/>
    <mergeCell ref="H249:I249"/>
    <mergeCell ref="J249:K249"/>
    <mergeCell ref="O249:P249"/>
    <mergeCell ref="A246:B246"/>
    <mergeCell ref="H246:I246"/>
    <mergeCell ref="J246:K246"/>
    <mergeCell ref="O246:P246"/>
    <mergeCell ref="A247:B247"/>
    <mergeCell ref="H247:I247"/>
    <mergeCell ref="J247:K247"/>
    <mergeCell ref="O247:P247"/>
    <mergeCell ref="C254:D254"/>
    <mergeCell ref="A258:B260"/>
    <mergeCell ref="C258:E258"/>
    <mergeCell ref="F258:G258"/>
    <mergeCell ref="H258:J258"/>
    <mergeCell ref="K258:M258"/>
    <mergeCell ref="M259:M260"/>
    <mergeCell ref="A250:B250"/>
    <mergeCell ref="H250:I250"/>
    <mergeCell ref="J250:K250"/>
    <mergeCell ref="A251:B251"/>
    <mergeCell ref="H251:I251"/>
    <mergeCell ref="J251:K251"/>
    <mergeCell ref="A261:B261"/>
    <mergeCell ref="A262:B262"/>
    <mergeCell ref="A263:B263"/>
    <mergeCell ref="N258:P258"/>
    <mergeCell ref="C259:C260"/>
    <mergeCell ref="D259:D260"/>
    <mergeCell ref="E259:E260"/>
    <mergeCell ref="F259:F260"/>
    <mergeCell ref="G259:G260"/>
    <mergeCell ref="H259:H260"/>
    <mergeCell ref="I259:J259"/>
    <mergeCell ref="K259:K260"/>
    <mergeCell ref="L259:L260"/>
    <mergeCell ref="B279:D279"/>
    <mergeCell ref="G279:P279"/>
    <mergeCell ref="B280:D280"/>
    <mergeCell ref="G280:P280"/>
    <mergeCell ref="B281:D281"/>
    <mergeCell ref="G281:P281"/>
    <mergeCell ref="C272:D272"/>
    <mergeCell ref="A276:P276"/>
    <mergeCell ref="B277:D277"/>
    <mergeCell ref="G277:P277"/>
    <mergeCell ref="B278:D278"/>
    <mergeCell ref="G278:P278"/>
    <mergeCell ref="A294:C294"/>
    <mergeCell ref="D294:G294"/>
    <mergeCell ref="H294:K294"/>
    <mergeCell ref="B282:D282"/>
    <mergeCell ref="G282:P282"/>
    <mergeCell ref="A287:P287"/>
    <mergeCell ref="A288:L288"/>
    <mergeCell ref="A292:C292"/>
    <mergeCell ref="D292:G292"/>
    <mergeCell ref="H292:K292"/>
    <mergeCell ref="A293:C293"/>
    <mergeCell ref="D293:G293"/>
    <mergeCell ref="H293:K293"/>
    <mergeCell ref="A498:P498"/>
    <mergeCell ref="A499:P499"/>
    <mergeCell ref="C501:L501"/>
    <mergeCell ref="O501:P503"/>
    <mergeCell ref="A502:L502"/>
    <mergeCell ref="D503:M503"/>
    <mergeCell ref="A295:C295"/>
    <mergeCell ref="D295:G295"/>
    <mergeCell ref="H295:K295"/>
    <mergeCell ref="A296:C296"/>
    <mergeCell ref="D296:G296"/>
    <mergeCell ref="H296:K296"/>
    <mergeCell ref="M501:N502"/>
    <mergeCell ref="A429:P429"/>
    <mergeCell ref="E431:L431"/>
    <mergeCell ref="M431:N433"/>
    <mergeCell ref="O431:P433"/>
    <mergeCell ref="A432:L432"/>
    <mergeCell ref="A434:N434"/>
    <mergeCell ref="O448:P448"/>
    <mergeCell ref="A449:B449"/>
    <mergeCell ref="H449:I449"/>
    <mergeCell ref="J449:K449"/>
    <mergeCell ref="O449:P449"/>
    <mergeCell ref="G511:G512"/>
    <mergeCell ref="H511:I512"/>
    <mergeCell ref="J511:L511"/>
    <mergeCell ref="M511:M512"/>
    <mergeCell ref="N511:N512"/>
    <mergeCell ref="O511:O512"/>
    <mergeCell ref="J512:K512"/>
    <mergeCell ref="A504:M504"/>
    <mergeCell ref="A510:B512"/>
    <mergeCell ref="C510:E510"/>
    <mergeCell ref="F510:G510"/>
    <mergeCell ref="H510:L510"/>
    <mergeCell ref="M510:O510"/>
    <mergeCell ref="C511:C512"/>
    <mergeCell ref="D511:D512"/>
    <mergeCell ref="E511:E512"/>
    <mergeCell ref="F511:F512"/>
    <mergeCell ref="A515:B515"/>
    <mergeCell ref="H515:I515"/>
    <mergeCell ref="J515:K515"/>
    <mergeCell ref="A516:B516"/>
    <mergeCell ref="H516:I516"/>
    <mergeCell ref="J516:K516"/>
    <mergeCell ref="A513:B513"/>
    <mergeCell ref="H513:I513"/>
    <mergeCell ref="J513:K513"/>
    <mergeCell ref="A514:B514"/>
    <mergeCell ref="H514:I514"/>
    <mergeCell ref="J514:K514"/>
    <mergeCell ref="A519:B519"/>
    <mergeCell ref="H519:I519"/>
    <mergeCell ref="J519:K519"/>
    <mergeCell ref="A520:B520"/>
    <mergeCell ref="H520:I520"/>
    <mergeCell ref="J520:K520"/>
    <mergeCell ref="A517:B517"/>
    <mergeCell ref="H517:I517"/>
    <mergeCell ref="J517:K517"/>
    <mergeCell ref="A518:B518"/>
    <mergeCell ref="H518:I518"/>
    <mergeCell ref="J518:K518"/>
    <mergeCell ref="A521:B521"/>
    <mergeCell ref="H521:I521"/>
    <mergeCell ref="J521:K521"/>
    <mergeCell ref="C524:D524"/>
    <mergeCell ref="A529:B531"/>
    <mergeCell ref="C529:E529"/>
    <mergeCell ref="F529:G529"/>
    <mergeCell ref="H529:J529"/>
    <mergeCell ref="K529:M529"/>
    <mergeCell ref="M530:M531"/>
    <mergeCell ref="O530:O531"/>
    <mergeCell ref="P530:P531"/>
    <mergeCell ref="A532:B532"/>
    <mergeCell ref="A533:B533"/>
    <mergeCell ref="C543:D543"/>
    <mergeCell ref="C530:C531"/>
    <mergeCell ref="D530:D531"/>
    <mergeCell ref="E530:E531"/>
    <mergeCell ref="F530:F531"/>
    <mergeCell ref="G530:G531"/>
    <mergeCell ref="H530:H531"/>
    <mergeCell ref="I530:J530"/>
    <mergeCell ref="K530:K531"/>
    <mergeCell ref="L530:L531"/>
    <mergeCell ref="D564:G564"/>
    <mergeCell ref="H564:M564"/>
    <mergeCell ref="H569:P569"/>
    <mergeCell ref="A575:O575"/>
    <mergeCell ref="A562:C562"/>
    <mergeCell ref="D562:G562"/>
    <mergeCell ref="H562:M562"/>
    <mergeCell ref="A563:C563"/>
    <mergeCell ref="D563:G563"/>
    <mergeCell ref="H563:M563"/>
    <mergeCell ref="Q54:R54"/>
    <mergeCell ref="Q55:Q56"/>
    <mergeCell ref="R55:R56"/>
    <mergeCell ref="M95:N97"/>
    <mergeCell ref="P104:Q104"/>
    <mergeCell ref="P105:P106"/>
    <mergeCell ref="Q105:Q106"/>
    <mergeCell ref="Q122:R122"/>
    <mergeCell ref="Q123:Q124"/>
    <mergeCell ref="R123:R124"/>
    <mergeCell ref="N122:P122"/>
    <mergeCell ref="O114:P114"/>
    <mergeCell ref="O115:P115"/>
    <mergeCell ref="N54:P54"/>
    <mergeCell ref="Q190:R190"/>
    <mergeCell ref="Q191:Q192"/>
    <mergeCell ref="R191:R192"/>
    <mergeCell ref="M231:N233"/>
    <mergeCell ref="P240:Q240"/>
    <mergeCell ref="P241:P242"/>
    <mergeCell ref="Q241:Q242"/>
    <mergeCell ref="Q258:R258"/>
    <mergeCell ref="Q259:Q260"/>
    <mergeCell ref="R259:R260"/>
    <mergeCell ref="N259:N260"/>
    <mergeCell ref="O259:O260"/>
    <mergeCell ref="P259:P260"/>
    <mergeCell ref="O250:P250"/>
    <mergeCell ref="O251:P251"/>
    <mergeCell ref="N190:P190"/>
    <mergeCell ref="H447:I447"/>
    <mergeCell ref="J447:K447"/>
    <mergeCell ref="C456:D456"/>
    <mergeCell ref="A460:B462"/>
    <mergeCell ref="A448:B448"/>
    <mergeCell ref="H448:I448"/>
    <mergeCell ref="J448:K448"/>
    <mergeCell ref="A450:B450"/>
    <mergeCell ref="H450:I450"/>
    <mergeCell ref="J450:K450"/>
    <mergeCell ref="O450:P450"/>
    <mergeCell ref="O452:P452"/>
    <mergeCell ref="A453:B453"/>
    <mergeCell ref="H453:I453"/>
    <mergeCell ref="J453:K453"/>
    <mergeCell ref="O453:P453"/>
    <mergeCell ref="A451:B451"/>
    <mergeCell ref="H451:I451"/>
    <mergeCell ref="J451:K451"/>
    <mergeCell ref="O451:P451"/>
    <mergeCell ref="A452:B452"/>
    <mergeCell ref="H452:I452"/>
    <mergeCell ref="J452:K452"/>
    <mergeCell ref="B480:D480"/>
    <mergeCell ref="N460:P460"/>
    <mergeCell ref="G480:P480"/>
    <mergeCell ref="A490:R490"/>
    <mergeCell ref="A491:L491"/>
    <mergeCell ref="B482:D482"/>
    <mergeCell ref="G482:P482"/>
    <mergeCell ref="B483:D483"/>
    <mergeCell ref="G483:P483"/>
    <mergeCell ref="B484:D484"/>
    <mergeCell ref="G484:P484"/>
    <mergeCell ref="A489:P489"/>
    <mergeCell ref="A463:B463"/>
    <mergeCell ref="A464:B464"/>
    <mergeCell ref="A465:B465"/>
    <mergeCell ref="C460:E460"/>
    <mergeCell ref="F460:G460"/>
    <mergeCell ref="H460:J460"/>
    <mergeCell ref="K460:M460"/>
    <mergeCell ref="C474:D474"/>
    <mergeCell ref="A478:P478"/>
    <mergeCell ref="B479:D479"/>
    <mergeCell ref="G479:P479"/>
    <mergeCell ref="A495:C495"/>
    <mergeCell ref="D495:G495"/>
    <mergeCell ref="H495:K495"/>
    <mergeCell ref="A496:C496"/>
    <mergeCell ref="D496:G496"/>
    <mergeCell ref="H496:K496"/>
    <mergeCell ref="Q460:R460"/>
    <mergeCell ref="C461:C462"/>
    <mergeCell ref="D461:D462"/>
    <mergeCell ref="E461:E462"/>
    <mergeCell ref="F461:F462"/>
    <mergeCell ref="G461:G462"/>
    <mergeCell ref="H461:H462"/>
    <mergeCell ref="I461:J461"/>
    <mergeCell ref="K461:K462"/>
    <mergeCell ref="L461:L462"/>
    <mergeCell ref="M461:M462"/>
    <mergeCell ref="N461:N462"/>
    <mergeCell ref="O461:O462"/>
    <mergeCell ref="P461:P462"/>
    <mergeCell ref="Q461:Q462"/>
    <mergeCell ref="R461:R462"/>
    <mergeCell ref="B481:D481"/>
    <mergeCell ref="G481:P481"/>
    <mergeCell ref="A579:R579"/>
    <mergeCell ref="A580:R580"/>
    <mergeCell ref="A581:R581"/>
    <mergeCell ref="A584:R584"/>
    <mergeCell ref="A585:R585"/>
    <mergeCell ref="A587:R587"/>
    <mergeCell ref="A497:C497"/>
    <mergeCell ref="D497:G497"/>
    <mergeCell ref="H497:K497"/>
    <mergeCell ref="P510:Q510"/>
    <mergeCell ref="P511:P512"/>
    <mergeCell ref="Q511:Q512"/>
    <mergeCell ref="N529:O529"/>
    <mergeCell ref="H567:O567"/>
    <mergeCell ref="A551:P551"/>
    <mergeCell ref="A553:H553"/>
    <mergeCell ref="A554:O554"/>
    <mergeCell ref="J556:O556"/>
    <mergeCell ref="A557:O557"/>
    <mergeCell ref="A561:C561"/>
    <mergeCell ref="D561:G561"/>
    <mergeCell ref="H561:M561"/>
    <mergeCell ref="N530:N531"/>
    <mergeCell ref="A564:C564"/>
    <mergeCell ref="A440:B442"/>
    <mergeCell ref="C440:E440"/>
    <mergeCell ref="F440:G440"/>
    <mergeCell ref="H440:L440"/>
    <mergeCell ref="M440:O440"/>
    <mergeCell ref="P440:Q440"/>
    <mergeCell ref="C441:C442"/>
    <mergeCell ref="D441:D442"/>
    <mergeCell ref="E441:E442"/>
    <mergeCell ref="F441:F442"/>
    <mergeCell ref="G441:G442"/>
    <mergeCell ref="H441:I442"/>
    <mergeCell ref="J441:L441"/>
    <mergeCell ref="M441:M442"/>
    <mergeCell ref="N441:N442"/>
    <mergeCell ref="O441:O442"/>
    <mergeCell ref="P441:P442"/>
    <mergeCell ref="Q441:Q442"/>
    <mergeCell ref="J442:K442"/>
    <mergeCell ref="L444:L446"/>
    <mergeCell ref="H445:I445"/>
    <mergeCell ref="H446:I446"/>
    <mergeCell ref="A443:B443"/>
    <mergeCell ref="H443:I443"/>
    <mergeCell ref="J443:K443"/>
    <mergeCell ref="A444:B446"/>
    <mergeCell ref="C444:C446"/>
    <mergeCell ref="D444:D446"/>
    <mergeCell ref="E444:E446"/>
    <mergeCell ref="F444:F446"/>
    <mergeCell ref="G444:G446"/>
    <mergeCell ref="H444:I444"/>
    <mergeCell ref="J444:K446"/>
  </mergeCells>
  <pageMargins left="0.16" right="0.2" top="0.19" bottom="0.19" header="0.19" footer="0.19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view="pageBreakPreview" topLeftCell="A4" zoomScale="60" zoomScaleNormal="115" workbookViewId="0">
      <selection activeCell="C41" sqref="C41"/>
    </sheetView>
  </sheetViews>
  <sheetFormatPr defaultColWidth="9.140625" defaultRowHeight="12.75" x14ac:dyDescent="0.2"/>
  <cols>
    <col min="1" max="1" width="10.140625" style="66" customWidth="1"/>
    <col min="2" max="2" width="7.5703125" style="66" customWidth="1"/>
    <col min="3" max="3" width="15.5703125" style="66" customWidth="1"/>
    <col min="4" max="4" width="18.140625" style="66" customWidth="1"/>
    <col min="5" max="5" width="15.140625" style="66" customWidth="1"/>
    <col min="6" max="6" width="8" style="66" customWidth="1"/>
    <col min="7" max="7" width="13.42578125" style="66" bestFit="1" customWidth="1"/>
    <col min="8" max="8" width="15.85546875" style="66" customWidth="1"/>
    <col min="9" max="9" width="13.42578125" style="66" customWidth="1"/>
    <col min="10" max="10" width="10.7109375" style="66" bestFit="1" customWidth="1"/>
    <col min="11" max="11" width="9.140625" style="66"/>
    <col min="12" max="12" width="11.140625" style="66" customWidth="1"/>
    <col min="13" max="13" width="9.140625" style="66"/>
    <col min="14" max="14" width="10.140625" style="66" bestFit="1" customWidth="1"/>
    <col min="15" max="17" width="9.140625" style="66"/>
    <col min="18" max="18" width="0" style="66" hidden="1" customWidth="1"/>
    <col min="19" max="19" width="12.140625" style="66" hidden="1" customWidth="1"/>
    <col min="20" max="20" width="12.42578125" style="66" hidden="1" customWidth="1"/>
    <col min="21" max="21" width="0" style="66" hidden="1" customWidth="1"/>
    <col min="22" max="16384" width="9.140625" style="66"/>
  </cols>
  <sheetData>
    <row r="1" spans="1:20" ht="15.75" x14ac:dyDescent="0.2">
      <c r="F1" s="69"/>
      <c r="G1" s="69"/>
      <c r="H1" s="69"/>
      <c r="I1" s="68" t="s">
        <v>225</v>
      </c>
      <c r="J1" s="68"/>
      <c r="K1" s="68"/>
      <c r="L1" s="68"/>
      <c r="M1" s="68"/>
      <c r="N1" s="160"/>
      <c r="O1" s="68"/>
      <c r="P1" s="68"/>
      <c r="Q1" s="160"/>
      <c r="R1" s="160"/>
    </row>
    <row r="2" spans="1:20" ht="18" x14ac:dyDescent="0.25">
      <c r="A2" s="1015" t="s">
        <v>222</v>
      </c>
      <c r="B2" s="1015"/>
      <c r="C2" s="1015"/>
      <c r="D2" s="1015"/>
      <c r="E2" s="1015"/>
      <c r="F2" s="69"/>
      <c r="G2" s="69"/>
      <c r="H2" s="69"/>
      <c r="I2" s="1013" t="s">
        <v>567</v>
      </c>
      <c r="J2" s="1013"/>
      <c r="K2" s="1013" t="s">
        <v>565</v>
      </c>
      <c r="L2" s="1013"/>
      <c r="M2" s="1013" t="s">
        <v>566</v>
      </c>
      <c r="N2" s="1013"/>
      <c r="O2" s="68"/>
      <c r="R2" s="68" t="s">
        <v>296</v>
      </c>
      <c r="S2" s="68"/>
    </row>
    <row r="3" spans="1:20" x14ac:dyDescent="0.2">
      <c r="F3" s="69"/>
      <c r="G3" s="69"/>
      <c r="H3" s="69"/>
      <c r="I3" s="68" t="s">
        <v>297</v>
      </c>
      <c r="J3" s="66" t="s">
        <v>548</v>
      </c>
      <c r="K3" s="68" t="s">
        <v>297</v>
      </c>
      <c r="L3" s="66" t="s">
        <v>548</v>
      </c>
      <c r="M3" s="68" t="s">
        <v>297</v>
      </c>
      <c r="N3" s="66" t="s">
        <v>548</v>
      </c>
      <c r="O3" s="68"/>
      <c r="P3" s="68"/>
      <c r="R3" s="172" t="s">
        <v>226</v>
      </c>
      <c r="S3" s="172" t="s">
        <v>223</v>
      </c>
      <c r="T3" s="172" t="s">
        <v>224</v>
      </c>
    </row>
    <row r="4" spans="1:20" ht="18.75" x14ac:dyDescent="0.3">
      <c r="C4" s="66" t="s">
        <v>120</v>
      </c>
      <c r="E4" s="66">
        <f>I4+J4+K4+L4+M4+N4+O4</f>
        <v>537</v>
      </c>
      <c r="F4" s="69"/>
      <c r="G4" s="69" t="s">
        <v>219</v>
      </c>
      <c r="H4" s="69"/>
      <c r="I4" s="158">
        <v>215</v>
      </c>
      <c r="J4" s="158">
        <v>1</v>
      </c>
      <c r="K4" s="158">
        <v>269</v>
      </c>
      <c r="L4" s="158">
        <v>2</v>
      </c>
      <c r="M4" s="158">
        <v>50</v>
      </c>
      <c r="N4" s="158">
        <v>0</v>
      </c>
      <c r="O4" s="158"/>
      <c r="P4" s="171"/>
      <c r="Q4" s="68"/>
      <c r="R4" s="175">
        <v>0</v>
      </c>
      <c r="S4" s="175">
        <v>0</v>
      </c>
      <c r="T4" s="175">
        <v>0</v>
      </c>
    </row>
    <row r="5" spans="1:20" x14ac:dyDescent="0.2">
      <c r="A5" s="74" t="s">
        <v>110</v>
      </c>
      <c r="B5" s="74" t="s">
        <v>221</v>
      </c>
      <c r="C5" s="74" t="s">
        <v>220</v>
      </c>
      <c r="D5" s="74" t="s">
        <v>90</v>
      </c>
      <c r="E5" s="74" t="s">
        <v>219</v>
      </c>
      <c r="F5" s="69"/>
      <c r="G5" s="69"/>
      <c r="H5" s="69"/>
      <c r="I5" s="259"/>
      <c r="J5" s="259"/>
      <c r="K5" s="259"/>
      <c r="L5" s="259"/>
      <c r="M5" s="259"/>
      <c r="N5" s="259"/>
      <c r="O5" s="259"/>
      <c r="P5" s="68"/>
      <c r="Q5" s="68"/>
      <c r="R5" s="172"/>
      <c r="S5" s="172"/>
      <c r="T5" s="172"/>
    </row>
    <row r="6" spans="1:20" s="163" customFormat="1" x14ac:dyDescent="0.2">
      <c r="A6" s="169"/>
      <c r="B6" s="169"/>
      <c r="C6" s="170">
        <f>SUM(C14:C27)</f>
        <v>24237359</v>
      </c>
      <c r="D6" s="170"/>
      <c r="E6" s="170"/>
      <c r="F6" s="165"/>
      <c r="G6" s="165"/>
      <c r="H6" s="165"/>
      <c r="I6" s="175">
        <f>'проверка 2021'!I6</f>
        <v>0</v>
      </c>
      <c r="J6" s="175">
        <f>'проверка 2021'!J6</f>
        <v>0</v>
      </c>
      <c r="K6" s="175">
        <f>'проверка 2021'!K6</f>
        <v>0</v>
      </c>
      <c r="L6" s="175">
        <f>'проверка 2021'!L6</f>
        <v>0</v>
      </c>
      <c r="M6" s="175">
        <f>'проверка 2021'!M6</f>
        <v>0</v>
      </c>
      <c r="N6" s="175">
        <f>'проверка 2021'!N6</f>
        <v>0</v>
      </c>
      <c r="O6" s="175">
        <f>'проверка 2021'!O6</f>
        <v>0</v>
      </c>
      <c r="P6" s="68" t="s">
        <v>230</v>
      </c>
      <c r="Q6" s="68"/>
      <c r="R6" s="172"/>
      <c r="S6" s="172"/>
      <c r="T6" s="172"/>
    </row>
    <row r="7" spans="1:20" s="163" customFormat="1" x14ac:dyDescent="0.2">
      <c r="A7" s="169">
        <v>211</v>
      </c>
      <c r="B7" s="168" t="s">
        <v>218</v>
      </c>
      <c r="C7" s="167">
        <v>15212036</v>
      </c>
      <c r="D7" s="166"/>
      <c r="E7" s="161"/>
      <c r="F7" s="69"/>
      <c r="G7" s="69"/>
      <c r="H7" s="69"/>
      <c r="I7" s="342">
        <v>3106.7</v>
      </c>
      <c r="J7" s="343"/>
      <c r="K7" s="342">
        <v>4032.82</v>
      </c>
      <c r="L7" s="343"/>
      <c r="M7" s="342">
        <v>4238.63</v>
      </c>
      <c r="N7" s="338"/>
      <c r="O7" s="338"/>
      <c r="P7" s="68" t="s">
        <v>229</v>
      </c>
      <c r="Q7" s="68"/>
      <c r="R7" s="172"/>
      <c r="S7" s="172"/>
      <c r="T7" s="172"/>
    </row>
    <row r="8" spans="1:20" s="163" customFormat="1" x14ac:dyDescent="0.2">
      <c r="A8" s="169">
        <v>213</v>
      </c>
      <c r="B8" s="168" t="s">
        <v>218</v>
      </c>
      <c r="C8" s="167">
        <v>4594035</v>
      </c>
      <c r="D8" s="166"/>
      <c r="E8" s="161"/>
      <c r="F8" s="164"/>
      <c r="G8" s="164"/>
      <c r="H8" s="164">
        <f>I8*$I$4+J8*$J$4+K8*$K$4+L8*$L$4+M8*$M$4+N8*$N$4+O8*$O$4</f>
        <v>13566767.200000001</v>
      </c>
      <c r="I8" s="340">
        <v>19518.2</v>
      </c>
      <c r="J8" s="340">
        <v>46006.5</v>
      </c>
      <c r="K8" s="340">
        <v>28135.9</v>
      </c>
      <c r="L8" s="340">
        <v>72905.3</v>
      </c>
      <c r="M8" s="340">
        <v>32199.599999999999</v>
      </c>
      <c r="N8" s="340">
        <v>114664.6</v>
      </c>
      <c r="O8" s="339">
        <f>IF(O4=0,0,ROUND((R8*R4+S8*S4+T8*T4)/O4,0))</f>
        <v>0</v>
      </c>
      <c r="P8" s="68" t="s">
        <v>227</v>
      </c>
      <c r="Q8" s="68"/>
      <c r="R8" s="340">
        <f>J8</f>
        <v>46006.5</v>
      </c>
      <c r="S8" s="340">
        <f>L8</f>
        <v>72905.3</v>
      </c>
      <c r="T8" s="340">
        <f>N8</f>
        <v>114664.6</v>
      </c>
    </row>
    <row r="9" spans="1:20" s="163" customFormat="1" x14ac:dyDescent="0.2">
      <c r="A9" s="169">
        <v>221</v>
      </c>
      <c r="B9" s="168" t="s">
        <v>218</v>
      </c>
      <c r="C9" s="167">
        <v>46140</v>
      </c>
      <c r="D9" s="166"/>
      <c r="E9" s="161"/>
      <c r="F9" s="164"/>
      <c r="G9" s="164"/>
      <c r="H9" s="164">
        <f>I9*$I$4+J9*$J$4+K9*$K$4+L9*$L$4+M9*$M$4+N9*$N$4+O9*$O$4</f>
        <v>4357664.0999999996</v>
      </c>
      <c r="I9" s="340">
        <v>6191.5</v>
      </c>
      <c r="J9" s="340">
        <v>15293.1</v>
      </c>
      <c r="K9" s="601">
        <v>9068.2999999999993</v>
      </c>
      <c r="L9" s="602">
        <v>24437.9</v>
      </c>
      <c r="M9" s="601">
        <v>10459</v>
      </c>
      <c r="N9" s="602">
        <v>38750.5</v>
      </c>
      <c r="O9" s="339">
        <f>IF(O4=0,0,ROUND((R9*R4+S9*S4+T9*T4)/O4,0))</f>
        <v>0</v>
      </c>
      <c r="P9" s="68" t="s">
        <v>228</v>
      </c>
      <c r="Q9" s="68"/>
      <c r="R9" s="340">
        <f>J9</f>
        <v>15293.1</v>
      </c>
      <c r="S9" s="341">
        <f>L9</f>
        <v>24437.9</v>
      </c>
      <c r="T9" s="341">
        <f>N9</f>
        <v>38750.5</v>
      </c>
    </row>
    <row r="10" spans="1:20" s="163" customFormat="1" x14ac:dyDescent="0.2">
      <c r="A10" s="169">
        <v>226</v>
      </c>
      <c r="B10" s="168" t="s">
        <v>218</v>
      </c>
      <c r="C10" s="173">
        <v>20848</v>
      </c>
      <c r="D10" s="166"/>
      <c r="E10" s="161"/>
      <c r="F10" s="164">
        <f>ROUND(C10/$E$4,2)</f>
        <v>38.82</v>
      </c>
      <c r="G10" s="164"/>
      <c r="H10" s="164"/>
      <c r="I10" s="66">
        <f>$F$10</f>
        <v>38.82</v>
      </c>
      <c r="J10" s="66">
        <f t="shared" ref="J10:O10" si="0">$F$10</f>
        <v>38.82</v>
      </c>
      <c r="K10" s="66">
        <f t="shared" si="0"/>
        <v>38.82</v>
      </c>
      <c r="L10" s="66">
        <f t="shared" si="0"/>
        <v>38.82</v>
      </c>
      <c r="M10" s="66">
        <f t="shared" si="0"/>
        <v>38.82</v>
      </c>
      <c r="N10" s="66">
        <f t="shared" si="0"/>
        <v>38.82</v>
      </c>
      <c r="O10" s="66">
        <f t="shared" si="0"/>
        <v>38.82</v>
      </c>
      <c r="P10" s="68"/>
      <c r="Q10" s="68"/>
      <c r="R10" s="68"/>
      <c r="S10" s="68"/>
      <c r="T10" s="68"/>
    </row>
    <row r="11" spans="1:20" s="163" customFormat="1" x14ac:dyDescent="0.2">
      <c r="A11" s="169">
        <v>226</v>
      </c>
      <c r="B11" s="168" t="s">
        <v>218</v>
      </c>
      <c r="C11" s="167">
        <v>20000</v>
      </c>
      <c r="D11" s="166"/>
      <c r="E11" s="161"/>
      <c r="F11" s="164"/>
      <c r="G11" s="164"/>
      <c r="H11" s="164"/>
      <c r="I11" s="258"/>
      <c r="J11" s="258"/>
      <c r="K11" s="258"/>
      <c r="L11" s="258"/>
      <c r="M11" s="258"/>
      <c r="N11" s="258"/>
      <c r="O11" s="258"/>
      <c r="P11" s="68"/>
      <c r="Q11" s="68"/>
      <c r="R11" s="68"/>
      <c r="S11" s="68"/>
      <c r="T11" s="68"/>
    </row>
    <row r="12" spans="1:20" s="163" customFormat="1" x14ac:dyDescent="0.2">
      <c r="A12" s="169">
        <v>310</v>
      </c>
      <c r="B12" s="168" t="s">
        <v>218</v>
      </c>
      <c r="C12" s="167">
        <v>693736</v>
      </c>
      <c r="D12" s="166"/>
      <c r="E12" s="161"/>
      <c r="F12" s="164"/>
      <c r="G12" s="165"/>
      <c r="I12" s="163">
        <v>215</v>
      </c>
      <c r="J12" s="163">
        <v>269</v>
      </c>
      <c r="K12" s="163">
        <v>50</v>
      </c>
      <c r="L12" s="163">
        <v>1</v>
      </c>
      <c r="M12" s="163">
        <v>2</v>
      </c>
      <c r="N12" s="66">
        <v>0</v>
      </c>
      <c r="O12" s="68"/>
      <c r="P12" s="68"/>
      <c r="Q12" s="68"/>
      <c r="R12" s="68"/>
    </row>
    <row r="13" spans="1:20" s="163" customFormat="1" x14ac:dyDescent="0.2">
      <c r="A13" s="169" t="s">
        <v>461</v>
      </c>
      <c r="B13" s="168" t="s">
        <v>218</v>
      </c>
      <c r="C13" s="167">
        <v>38059</v>
      </c>
      <c r="D13" s="166"/>
      <c r="E13" s="161"/>
      <c r="F13" s="164"/>
      <c r="G13" s="164"/>
    </row>
    <row r="14" spans="1:20" s="163" customFormat="1" ht="13.5" thickBot="1" x14ac:dyDescent="0.25">
      <c r="A14" s="169"/>
      <c r="B14" s="168"/>
      <c r="C14" s="176">
        <f>SUM(C7:C13)</f>
        <v>20624854</v>
      </c>
      <c r="D14" s="176"/>
      <c r="E14" s="176"/>
      <c r="F14" s="164"/>
      <c r="G14" s="165">
        <f>H14-C14</f>
        <v>-2679576.3600000031</v>
      </c>
      <c r="H14" s="164">
        <f>I14*$I$4+J4*$J$14+K14*$K$4+L14*$L$4+M14*$M$4+N14*$N$4+O14*$O$4</f>
        <v>17945277.639999997</v>
      </c>
      <c r="I14" s="146">
        <f>ROUND(IF(I4=0,0,I8+I9+I10)+IF(I6=0,0,I7/I4),2)</f>
        <v>25748.52</v>
      </c>
      <c r="J14" s="146">
        <f t="shared" ref="J14:O14" si="1">ROUND(IF(J4=0,0,J8+J9+J10)+IF(J6=0,0,J7/J4),2)</f>
        <v>61338.42</v>
      </c>
      <c r="K14" s="146">
        <f>ROUND(IF(K4=0,0,K8+K9+K10)+IF(K6=0,0,K7/K4),2)</f>
        <v>37243.019999999997</v>
      </c>
      <c r="L14" s="146">
        <f t="shared" si="1"/>
        <v>97382.02</v>
      </c>
      <c r="M14" s="146">
        <f t="shared" si="1"/>
        <v>42697.42</v>
      </c>
      <c r="N14" s="146">
        <f t="shared" si="1"/>
        <v>0</v>
      </c>
      <c r="O14" s="146">
        <f t="shared" si="1"/>
        <v>0</v>
      </c>
      <c r="P14" s="257"/>
    </row>
    <row r="15" spans="1:20" s="163" customFormat="1" x14ac:dyDescent="0.2">
      <c r="A15" s="169"/>
      <c r="B15" s="168"/>
      <c r="C15" s="176"/>
      <c r="D15" s="176"/>
      <c r="E15" s="176"/>
      <c r="F15" s="164"/>
      <c r="G15" s="165"/>
      <c r="H15" s="164" t="s">
        <v>232</v>
      </c>
      <c r="I15" s="163">
        <f>-ROUND($G$14/$E$4,2)</f>
        <v>4989.8999999999996</v>
      </c>
      <c r="J15" s="163">
        <f t="shared" ref="J15:O15" si="2">-ROUND($G$14/$E$4,2)</f>
        <v>4989.8999999999996</v>
      </c>
      <c r="K15" s="163">
        <f t="shared" si="2"/>
        <v>4989.8999999999996</v>
      </c>
      <c r="L15" s="163">
        <f t="shared" si="2"/>
        <v>4989.8999999999996</v>
      </c>
      <c r="M15" s="163">
        <f t="shared" si="2"/>
        <v>4989.8999999999996</v>
      </c>
      <c r="N15" s="163">
        <f t="shared" si="2"/>
        <v>4989.8999999999996</v>
      </c>
      <c r="O15" s="163">
        <f t="shared" si="2"/>
        <v>4989.8999999999996</v>
      </c>
    </row>
    <row r="16" spans="1:20" s="163" customFormat="1" x14ac:dyDescent="0.2">
      <c r="A16" s="169"/>
      <c r="B16" s="168"/>
      <c r="C16" s="176" t="s">
        <v>551</v>
      </c>
      <c r="D16" s="176"/>
      <c r="E16" s="176"/>
      <c r="F16" s="164"/>
      <c r="G16" s="165">
        <f>C14-H16</f>
        <v>5.9999998658895493E-2</v>
      </c>
      <c r="H16" s="164">
        <f>I16*$I$4+J16*$J$4+K16*$K$4+L16*$L$4+M16*$M$4+N16*$N$4+O16*$O$4</f>
        <v>20624853.940000001</v>
      </c>
      <c r="I16" s="163">
        <f>I14+I15</f>
        <v>30738.42</v>
      </c>
      <c r="J16" s="163">
        <f>J14+J15</f>
        <v>66328.319999999992</v>
      </c>
      <c r="K16" s="163">
        <f t="shared" ref="K16:O16" si="3">K14+K15</f>
        <v>42232.92</v>
      </c>
      <c r="L16" s="163">
        <f t="shared" si="3"/>
        <v>102371.92</v>
      </c>
      <c r="M16" s="163">
        <f t="shared" si="3"/>
        <v>47687.32</v>
      </c>
      <c r="N16" s="163">
        <f t="shared" si="3"/>
        <v>4989.8999999999996</v>
      </c>
      <c r="O16" s="163">
        <f t="shared" si="3"/>
        <v>4989.8999999999996</v>
      </c>
    </row>
    <row r="17" spans="1:21" x14ac:dyDescent="0.2">
      <c r="A17" s="74">
        <v>211</v>
      </c>
      <c r="B17" s="74">
        <v>901</v>
      </c>
      <c r="C17" s="162">
        <f>785985+6000+102935</f>
        <v>894920</v>
      </c>
      <c r="D17" s="161"/>
      <c r="E17" s="161"/>
      <c r="F17" s="164">
        <f>ROUND(C17/$E$4,2)</f>
        <v>1666.52</v>
      </c>
      <c r="G17" s="165">
        <f>H17-C17</f>
        <v>1.2399999999906868</v>
      </c>
      <c r="H17" s="164">
        <f t="shared" ref="H17:H27" si="4">I17*$I$4+J17*$J$4+K17*$K$4+L17*$L$4+M17*$M$4+N17*$N$4+O17*$O$4</f>
        <v>894921.24</v>
      </c>
      <c r="I17" s="66">
        <f>IF($I$4=0,0,F17)</f>
        <v>1666.52</v>
      </c>
      <c r="J17" s="66">
        <f>IF($J$4=0,0,F17)</f>
        <v>1666.52</v>
      </c>
      <c r="K17" s="66">
        <f>IF($K$4=0,0,F17)</f>
        <v>1666.52</v>
      </c>
      <c r="L17" s="66">
        <f>IF($L$4=0,0,F17)</f>
        <v>1666.52</v>
      </c>
      <c r="M17" s="66">
        <f>IF($M$4=0,0,F17)</f>
        <v>1666.52</v>
      </c>
      <c r="N17" s="66">
        <f>IF($N$4=0,0,F17)</f>
        <v>0</v>
      </c>
      <c r="O17" s="66">
        <f>IF($O$4=0,0,F17)</f>
        <v>0</v>
      </c>
      <c r="R17" s="68"/>
      <c r="S17" s="68"/>
      <c r="T17" s="68"/>
      <c r="U17" s="68"/>
    </row>
    <row r="18" spans="1:21" x14ac:dyDescent="0.2">
      <c r="A18" s="74">
        <v>266</v>
      </c>
      <c r="B18" s="74">
        <v>901</v>
      </c>
      <c r="C18" s="162">
        <v>600</v>
      </c>
      <c r="D18" s="161"/>
      <c r="E18" s="161"/>
      <c r="F18" s="164">
        <f t="shared" ref="F18:F27" si="5">ROUND(C18/$E$4,2)</f>
        <v>1.1200000000000001</v>
      </c>
      <c r="G18" s="165">
        <f t="shared" ref="G18:G27" si="6">H18-C18</f>
        <v>1.4400000000000546</v>
      </c>
      <c r="H18" s="164">
        <f t="shared" si="4"/>
        <v>601.44000000000005</v>
      </c>
      <c r="I18" s="66">
        <f t="shared" ref="I18:I27" si="7">IF($I$4=0,0,F18)</f>
        <v>1.1200000000000001</v>
      </c>
      <c r="J18" s="66">
        <f t="shared" ref="J18:J27" si="8">IF($J$4=0,0,F18)</f>
        <v>1.1200000000000001</v>
      </c>
      <c r="K18" s="66">
        <f t="shared" ref="K18:K27" si="9">IF($K$4=0,0,I18)</f>
        <v>1.1200000000000001</v>
      </c>
      <c r="L18" s="66">
        <f t="shared" ref="L18:L27" si="10">IF($L$4=0,0,F18)</f>
        <v>1.1200000000000001</v>
      </c>
      <c r="M18" s="66">
        <f t="shared" ref="M18:M27" si="11">IF($M$4=0,0,F18)</f>
        <v>1.1200000000000001</v>
      </c>
      <c r="N18" s="66">
        <f t="shared" ref="N18:N27" si="12">IF($N$4=0,0,F18)</f>
        <v>0</v>
      </c>
      <c r="O18" s="66">
        <f t="shared" ref="O18:O27" si="13">IF($O$4=0,0,F18)</f>
        <v>0</v>
      </c>
      <c r="R18" s="68"/>
      <c r="S18" s="68"/>
      <c r="T18" s="68"/>
      <c r="U18" s="68"/>
    </row>
    <row r="19" spans="1:21" x14ac:dyDescent="0.2">
      <c r="A19" s="74">
        <v>213</v>
      </c>
      <c r="B19" s="74">
        <v>901</v>
      </c>
      <c r="C19" s="162">
        <f>239179+31086</f>
        <v>270265</v>
      </c>
      <c r="D19" s="161"/>
      <c r="E19" s="161"/>
      <c r="F19" s="164">
        <f t="shared" si="5"/>
        <v>503.29</v>
      </c>
      <c r="G19" s="165">
        <f t="shared" si="6"/>
        <v>1.7299999999813735</v>
      </c>
      <c r="H19" s="164">
        <f t="shared" si="4"/>
        <v>270266.73</v>
      </c>
      <c r="I19" s="66">
        <f t="shared" si="7"/>
        <v>503.29</v>
      </c>
      <c r="J19" s="66">
        <f t="shared" si="8"/>
        <v>503.29</v>
      </c>
      <c r="K19" s="66">
        <f t="shared" si="9"/>
        <v>503.29</v>
      </c>
      <c r="L19" s="66">
        <f t="shared" si="10"/>
        <v>503.29</v>
      </c>
      <c r="M19" s="66">
        <f t="shared" si="11"/>
        <v>503.29</v>
      </c>
      <c r="N19" s="66">
        <f t="shared" si="12"/>
        <v>0</v>
      </c>
      <c r="O19" s="66">
        <f t="shared" si="13"/>
        <v>0</v>
      </c>
    </row>
    <row r="20" spans="1:21" x14ac:dyDescent="0.2">
      <c r="A20" s="74">
        <v>221</v>
      </c>
      <c r="B20" s="74">
        <v>901</v>
      </c>
      <c r="C20" s="162">
        <v>23999</v>
      </c>
      <c r="D20" s="161"/>
      <c r="E20" s="161"/>
      <c r="F20" s="164">
        <f t="shared" si="5"/>
        <v>44.69</v>
      </c>
      <c r="G20" s="165">
        <f t="shared" si="6"/>
        <v>-0.46999999999752617</v>
      </c>
      <c r="H20" s="164">
        <f t="shared" si="4"/>
        <v>23998.530000000002</v>
      </c>
      <c r="I20" s="66">
        <f t="shared" si="7"/>
        <v>44.69</v>
      </c>
      <c r="J20" s="66">
        <f t="shared" si="8"/>
        <v>44.69</v>
      </c>
      <c r="K20" s="66">
        <f t="shared" si="9"/>
        <v>44.69</v>
      </c>
      <c r="L20" s="66">
        <f t="shared" si="10"/>
        <v>44.69</v>
      </c>
      <c r="M20" s="66">
        <f t="shared" si="11"/>
        <v>44.69</v>
      </c>
      <c r="N20" s="66">
        <f t="shared" si="12"/>
        <v>0</v>
      </c>
      <c r="O20" s="66">
        <f t="shared" si="13"/>
        <v>0</v>
      </c>
    </row>
    <row r="21" spans="1:21" x14ac:dyDescent="0.2">
      <c r="A21" s="74">
        <v>222</v>
      </c>
      <c r="B21" s="74">
        <v>901</v>
      </c>
      <c r="C21" s="162"/>
      <c r="D21" s="161"/>
      <c r="E21" s="161"/>
      <c r="F21" s="164">
        <f t="shared" si="5"/>
        <v>0</v>
      </c>
      <c r="G21" s="165">
        <f t="shared" si="6"/>
        <v>0</v>
      </c>
      <c r="H21" s="164">
        <f t="shared" si="4"/>
        <v>0</v>
      </c>
      <c r="I21" s="66">
        <f t="shared" si="7"/>
        <v>0</v>
      </c>
      <c r="J21" s="66">
        <f t="shared" si="8"/>
        <v>0</v>
      </c>
      <c r="K21" s="66">
        <f t="shared" si="9"/>
        <v>0</v>
      </c>
      <c r="L21" s="66">
        <f t="shared" si="10"/>
        <v>0</v>
      </c>
      <c r="M21" s="66">
        <f t="shared" si="11"/>
        <v>0</v>
      </c>
      <c r="N21" s="66">
        <f t="shared" si="12"/>
        <v>0</v>
      </c>
      <c r="O21" s="66">
        <f t="shared" si="13"/>
        <v>0</v>
      </c>
    </row>
    <row r="22" spans="1:21" x14ac:dyDescent="0.2">
      <c r="A22" s="74">
        <v>223</v>
      </c>
      <c r="B22" s="74">
        <v>901</v>
      </c>
      <c r="C22" s="162">
        <v>1098192</v>
      </c>
      <c r="D22" s="161"/>
      <c r="E22" s="161"/>
      <c r="F22" s="164">
        <f t="shared" si="5"/>
        <v>2045.05</v>
      </c>
      <c r="G22" s="165">
        <f t="shared" si="6"/>
        <v>-0.14999999990686774</v>
      </c>
      <c r="H22" s="164">
        <f t="shared" si="4"/>
        <v>1098191.8500000001</v>
      </c>
      <c r="I22" s="66">
        <f t="shared" si="7"/>
        <v>2045.05</v>
      </c>
      <c r="J22" s="66">
        <f t="shared" si="8"/>
        <v>2045.05</v>
      </c>
      <c r="K22" s="66">
        <f t="shared" si="9"/>
        <v>2045.05</v>
      </c>
      <c r="L22" s="66">
        <f t="shared" si="10"/>
        <v>2045.05</v>
      </c>
      <c r="M22" s="66">
        <f t="shared" si="11"/>
        <v>2045.05</v>
      </c>
      <c r="N22" s="66">
        <f t="shared" si="12"/>
        <v>0</v>
      </c>
      <c r="O22" s="66">
        <f t="shared" si="13"/>
        <v>0</v>
      </c>
    </row>
    <row r="23" spans="1:21" x14ac:dyDescent="0.2">
      <c r="A23" s="74">
        <v>224</v>
      </c>
      <c r="B23" s="74">
        <v>901</v>
      </c>
      <c r="C23" s="162"/>
      <c r="D23" s="161"/>
      <c r="E23" s="161"/>
      <c r="F23" s="164">
        <f t="shared" si="5"/>
        <v>0</v>
      </c>
      <c r="G23" s="165">
        <f t="shared" si="6"/>
        <v>0</v>
      </c>
      <c r="H23" s="164">
        <f t="shared" si="4"/>
        <v>0</v>
      </c>
      <c r="I23" s="66">
        <f t="shared" si="7"/>
        <v>0</v>
      </c>
      <c r="J23" s="66">
        <f t="shared" si="8"/>
        <v>0</v>
      </c>
      <c r="K23" s="66">
        <f t="shared" si="9"/>
        <v>0</v>
      </c>
      <c r="L23" s="66">
        <f t="shared" si="10"/>
        <v>0</v>
      </c>
      <c r="M23" s="66">
        <f t="shared" si="11"/>
        <v>0</v>
      </c>
      <c r="N23" s="66">
        <f t="shared" si="12"/>
        <v>0</v>
      </c>
      <c r="O23" s="66">
        <f t="shared" si="13"/>
        <v>0</v>
      </c>
    </row>
    <row r="24" spans="1:21" x14ac:dyDescent="0.2">
      <c r="A24" s="74">
        <v>225</v>
      </c>
      <c r="B24" s="74">
        <v>901</v>
      </c>
      <c r="C24" s="162">
        <v>113318</v>
      </c>
      <c r="D24" s="161"/>
      <c r="E24" s="161"/>
      <c r="F24" s="164">
        <f t="shared" si="5"/>
        <v>211.02</v>
      </c>
      <c r="G24" s="165">
        <f t="shared" si="6"/>
        <v>-0.25999999999476131</v>
      </c>
      <c r="H24" s="164">
        <f t="shared" si="4"/>
        <v>113317.74</v>
      </c>
      <c r="I24" s="66">
        <f t="shared" si="7"/>
        <v>211.02</v>
      </c>
      <c r="J24" s="66">
        <f t="shared" si="8"/>
        <v>211.02</v>
      </c>
      <c r="K24" s="66">
        <f t="shared" si="9"/>
        <v>211.02</v>
      </c>
      <c r="L24" s="66">
        <f t="shared" si="10"/>
        <v>211.02</v>
      </c>
      <c r="M24" s="66">
        <f t="shared" si="11"/>
        <v>211.02</v>
      </c>
      <c r="N24" s="66">
        <f t="shared" si="12"/>
        <v>0</v>
      </c>
      <c r="O24" s="66">
        <f t="shared" si="13"/>
        <v>0</v>
      </c>
    </row>
    <row r="25" spans="1:21" x14ac:dyDescent="0.2">
      <c r="A25" s="74">
        <v>226</v>
      </c>
      <c r="B25" s="74">
        <v>901</v>
      </c>
      <c r="C25" s="162">
        <v>439000</v>
      </c>
      <c r="D25" s="161"/>
      <c r="E25" s="161"/>
      <c r="F25" s="164">
        <f t="shared" si="5"/>
        <v>817.5</v>
      </c>
      <c r="G25" s="165">
        <f t="shared" si="6"/>
        <v>-2.5</v>
      </c>
      <c r="H25" s="164">
        <f t="shared" si="4"/>
        <v>438997.5</v>
      </c>
      <c r="I25" s="66">
        <f t="shared" si="7"/>
        <v>817.5</v>
      </c>
      <c r="J25" s="66">
        <f t="shared" si="8"/>
        <v>817.5</v>
      </c>
      <c r="K25" s="66">
        <f t="shared" si="9"/>
        <v>817.5</v>
      </c>
      <c r="L25" s="66">
        <f t="shared" si="10"/>
        <v>817.5</v>
      </c>
      <c r="M25" s="66">
        <f t="shared" si="11"/>
        <v>817.5</v>
      </c>
      <c r="N25" s="66">
        <f t="shared" si="12"/>
        <v>0</v>
      </c>
      <c r="O25" s="66">
        <f t="shared" si="13"/>
        <v>0</v>
      </c>
    </row>
    <row r="26" spans="1:21" x14ac:dyDescent="0.2">
      <c r="A26" s="74">
        <v>291</v>
      </c>
      <c r="B26" s="74">
        <v>901</v>
      </c>
      <c r="C26" s="162">
        <v>525669</v>
      </c>
      <c r="D26" s="161"/>
      <c r="E26" s="161"/>
      <c r="F26" s="164">
        <f>ROUND(C26/$E$4,2)</f>
        <v>978.9</v>
      </c>
      <c r="G26" s="165">
        <f t="shared" si="6"/>
        <v>0.30000000004656613</v>
      </c>
      <c r="H26" s="164">
        <f t="shared" si="4"/>
        <v>525669.30000000005</v>
      </c>
      <c r="I26" s="66">
        <f t="shared" si="7"/>
        <v>978.9</v>
      </c>
      <c r="J26" s="66">
        <f t="shared" si="8"/>
        <v>978.9</v>
      </c>
      <c r="K26" s="66">
        <f t="shared" si="9"/>
        <v>978.9</v>
      </c>
      <c r="L26" s="66">
        <f t="shared" si="10"/>
        <v>978.9</v>
      </c>
      <c r="M26" s="66">
        <f t="shared" si="11"/>
        <v>978.9</v>
      </c>
      <c r="N26" s="66">
        <f t="shared" si="12"/>
        <v>0</v>
      </c>
      <c r="O26" s="66">
        <f t="shared" si="13"/>
        <v>0</v>
      </c>
    </row>
    <row r="27" spans="1:21" x14ac:dyDescent="0.2">
      <c r="A27" s="598" t="s">
        <v>461</v>
      </c>
      <c r="B27" s="74">
        <v>901</v>
      </c>
      <c r="C27" s="162">
        <v>246542</v>
      </c>
      <c r="D27" s="161"/>
      <c r="E27" s="161"/>
      <c r="F27" s="164">
        <f t="shared" si="5"/>
        <v>459.11</v>
      </c>
      <c r="G27" s="165">
        <f t="shared" si="6"/>
        <v>7.0000000006984919E-2</v>
      </c>
      <c r="H27" s="164">
        <f t="shared" si="4"/>
        <v>246542.07</v>
      </c>
      <c r="I27" s="66">
        <f t="shared" si="7"/>
        <v>459.11</v>
      </c>
      <c r="J27" s="66">
        <f t="shared" si="8"/>
        <v>459.11</v>
      </c>
      <c r="K27" s="66">
        <f t="shared" si="9"/>
        <v>459.11</v>
      </c>
      <c r="L27" s="66">
        <f t="shared" si="10"/>
        <v>459.11</v>
      </c>
      <c r="M27" s="66">
        <f t="shared" si="11"/>
        <v>459.11</v>
      </c>
      <c r="N27" s="66">
        <f t="shared" si="12"/>
        <v>0</v>
      </c>
      <c r="O27" s="66">
        <f t="shared" si="13"/>
        <v>0</v>
      </c>
    </row>
    <row r="28" spans="1:21" x14ac:dyDescent="0.2">
      <c r="C28" s="162">
        <f>C17+C18+C19+C20+C21+C22+C23+C24+C25+C26+C27</f>
        <v>3612505</v>
      </c>
      <c r="F28" s="69"/>
      <c r="G28" s="174">
        <f>G16+G17+G18+G19+G20+G21+G22+G23+G24+G25+G26+G27</f>
        <v>1.4599999987854062</v>
      </c>
      <c r="H28" s="163">
        <f>H16+H17+H18+H19+H20+H21+H22+H23+H24+H25+H26+H27</f>
        <v>24237360.340000004</v>
      </c>
      <c r="I28" s="163">
        <f>IF(I4=0,0,I16+I17+I18+I19+I20+I21+I22+I23+I24+I25+I26+I27)</f>
        <v>37465.620000000003</v>
      </c>
      <c r="J28" s="163">
        <f t="shared" ref="J28:O28" si="14">IF(J4=0,0,J16+J17+J18+J19+J20+J21+J22+J23+J24+J25+J26+J27)</f>
        <v>73055.51999999999</v>
      </c>
      <c r="K28" s="163">
        <f>IF(K4=0,0,K16+K17+K18+K19+K20+K21+K22+K23+K24+K25+K26+K27)</f>
        <v>48960.12</v>
      </c>
      <c r="L28" s="163">
        <f t="shared" si="14"/>
        <v>109099.12</v>
      </c>
      <c r="M28" s="163">
        <f t="shared" si="14"/>
        <v>54414.520000000004</v>
      </c>
      <c r="N28" s="163">
        <f t="shared" si="14"/>
        <v>0</v>
      </c>
      <c r="O28" s="163">
        <f t="shared" si="14"/>
        <v>0</v>
      </c>
      <c r="P28" s="163"/>
    </row>
    <row r="29" spans="1:21" x14ac:dyDescent="0.2">
      <c r="I29" s="1003">
        <f>IF((I4+J4)=0,0,ROUND((I28*I4+J28*J4)/(I4+J4),2))</f>
        <v>37630.39</v>
      </c>
      <c r="J29" s="1003"/>
      <c r="K29" s="1003">
        <f>IF((K4+L4)=0,0,ROUND((K28*K4+L28*L4)/(K4+L4),2))</f>
        <v>49403.95</v>
      </c>
      <c r="L29" s="1003"/>
      <c r="M29" s="1003">
        <f t="shared" ref="M29" si="15">IF((M4+N4)=0,0,ROUND((M28*M4+N28*N4)/(M4+N4),2))</f>
        <v>54414.52</v>
      </c>
      <c r="N29" s="1003"/>
      <c r="O29" s="66">
        <f>O28</f>
        <v>0</v>
      </c>
    </row>
    <row r="30" spans="1:21" x14ac:dyDescent="0.2">
      <c r="N30" s="83"/>
    </row>
    <row r="32" spans="1:21" x14ac:dyDescent="0.2">
      <c r="I32" s="83">
        <f>I29*(I4+J4)+K29*(K4+L4)+M29*(M4+N4)+O4*O29-C6</f>
        <v>1.6899999976158142</v>
      </c>
    </row>
    <row r="36" spans="1:5" x14ac:dyDescent="0.2">
      <c r="A36" s="1011" t="s">
        <v>463</v>
      </c>
      <c r="B36" s="1011"/>
      <c r="C36" s="74"/>
      <c r="D36" s="74"/>
      <c r="E36" s="74"/>
    </row>
    <row r="37" spans="1:5" x14ac:dyDescent="0.2">
      <c r="A37" s="74"/>
      <c r="B37" s="74"/>
      <c r="C37" s="74" t="s">
        <v>97</v>
      </c>
      <c r="D37" s="74"/>
      <c r="E37" s="74"/>
    </row>
    <row r="38" spans="1:5" x14ac:dyDescent="0.2">
      <c r="A38" s="74"/>
      <c r="B38" s="74"/>
      <c r="C38" s="74" t="s">
        <v>90</v>
      </c>
      <c r="D38" s="74" t="s">
        <v>465</v>
      </c>
      <c r="E38" s="74" t="s">
        <v>466</v>
      </c>
    </row>
    <row r="39" spans="1:5" x14ac:dyDescent="0.2">
      <c r="A39" s="74"/>
      <c r="B39" s="74"/>
      <c r="C39" s="74">
        <v>7951.94</v>
      </c>
      <c r="D39" s="74">
        <v>0.84598189999999995</v>
      </c>
      <c r="E39" s="74">
        <f>E4</f>
        <v>537</v>
      </c>
    </row>
    <row r="40" spans="1:5" x14ac:dyDescent="0.2">
      <c r="A40" s="74"/>
      <c r="B40" s="74"/>
      <c r="C40" s="74"/>
      <c r="D40" s="74"/>
      <c r="E40" s="74"/>
    </row>
    <row r="41" spans="1:5" x14ac:dyDescent="0.2">
      <c r="A41" s="1016" t="s">
        <v>219</v>
      </c>
      <c r="B41" s="1016"/>
      <c r="C41" s="606">
        <f>C28-ROUND(C39*D39*E39,2)</f>
        <v>4.0000000037252903E-2</v>
      </c>
      <c r="D41" s="74"/>
      <c r="E41" s="74"/>
    </row>
    <row r="43" spans="1:5" ht="15" x14ac:dyDescent="0.25">
      <c r="A43" s="15" t="s">
        <v>577</v>
      </c>
      <c r="B43" s="70"/>
      <c r="C43" s="211"/>
      <c r="D43" s="941" t="s">
        <v>578</v>
      </c>
      <c r="E43" s="942"/>
    </row>
    <row r="44" spans="1:5" x14ac:dyDescent="0.2">
      <c r="A44" s="67"/>
      <c r="B44" s="67"/>
      <c r="C44" s="67"/>
      <c r="D44" s="67"/>
      <c r="E44" s="14"/>
    </row>
    <row r="45" spans="1:5" ht="15" x14ac:dyDescent="0.25">
      <c r="A45" s="11" t="s">
        <v>587</v>
      </c>
      <c r="B45" s="67"/>
      <c r="C45" s="212"/>
      <c r="D45" s="941" t="s">
        <v>580</v>
      </c>
      <c r="E45" s="942"/>
    </row>
  </sheetData>
  <mergeCells count="11">
    <mergeCell ref="K2:L2"/>
    <mergeCell ref="M2:N2"/>
    <mergeCell ref="I29:J29"/>
    <mergeCell ref="K29:L29"/>
    <mergeCell ref="M29:N29"/>
    <mergeCell ref="D43:E43"/>
    <mergeCell ref="D45:E45"/>
    <mergeCell ref="A41:B41"/>
    <mergeCell ref="A2:E2"/>
    <mergeCell ref="I2:J2"/>
    <mergeCell ref="A36:B36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19" workbookViewId="0">
      <selection sqref="A1:I1"/>
    </sheetView>
  </sheetViews>
  <sheetFormatPr defaultRowHeight="15" x14ac:dyDescent="0.25"/>
  <cols>
    <col min="1" max="1" width="6.5703125" customWidth="1"/>
    <col min="2" max="2" width="41.28515625" customWidth="1"/>
    <col min="3" max="3" width="19" customWidth="1"/>
    <col min="4" max="4" width="13.85546875" customWidth="1"/>
    <col min="5" max="7" width="13.5703125" customWidth="1"/>
    <col min="8" max="8" width="13.7109375" customWidth="1"/>
    <col min="9" max="9" width="22.42578125" customWidth="1"/>
    <col min="257" max="257" width="6.5703125" customWidth="1"/>
    <col min="258" max="258" width="35.5703125" customWidth="1"/>
    <col min="259" max="259" width="17.42578125" customWidth="1"/>
    <col min="260" max="260" width="11.5703125" customWidth="1"/>
    <col min="261" max="261" width="12.7109375" customWidth="1"/>
    <col min="262" max="263" width="11.5703125" customWidth="1"/>
    <col min="264" max="264" width="13.7109375" customWidth="1"/>
    <col min="265" max="265" width="22.42578125" customWidth="1"/>
    <col min="513" max="513" width="6.5703125" customWidth="1"/>
    <col min="514" max="514" width="35.5703125" customWidth="1"/>
    <col min="515" max="515" width="17.42578125" customWidth="1"/>
    <col min="516" max="516" width="11.5703125" customWidth="1"/>
    <col min="517" max="517" width="12.7109375" customWidth="1"/>
    <col min="518" max="519" width="11.5703125" customWidth="1"/>
    <col min="520" max="520" width="13.7109375" customWidth="1"/>
    <col min="521" max="521" width="22.42578125" customWidth="1"/>
    <col min="769" max="769" width="6.5703125" customWidth="1"/>
    <col min="770" max="770" width="35.5703125" customWidth="1"/>
    <col min="771" max="771" width="17.42578125" customWidth="1"/>
    <col min="772" max="772" width="11.5703125" customWidth="1"/>
    <col min="773" max="773" width="12.7109375" customWidth="1"/>
    <col min="774" max="775" width="11.5703125" customWidth="1"/>
    <col min="776" max="776" width="13.7109375" customWidth="1"/>
    <col min="777" max="777" width="22.42578125" customWidth="1"/>
    <col min="1025" max="1025" width="6.5703125" customWidth="1"/>
    <col min="1026" max="1026" width="35.5703125" customWidth="1"/>
    <col min="1027" max="1027" width="17.42578125" customWidth="1"/>
    <col min="1028" max="1028" width="11.5703125" customWidth="1"/>
    <col min="1029" max="1029" width="12.7109375" customWidth="1"/>
    <col min="1030" max="1031" width="11.5703125" customWidth="1"/>
    <col min="1032" max="1032" width="13.7109375" customWidth="1"/>
    <col min="1033" max="1033" width="22.42578125" customWidth="1"/>
    <col min="1281" max="1281" width="6.5703125" customWidth="1"/>
    <col min="1282" max="1282" width="35.5703125" customWidth="1"/>
    <col min="1283" max="1283" width="17.42578125" customWidth="1"/>
    <col min="1284" max="1284" width="11.5703125" customWidth="1"/>
    <col min="1285" max="1285" width="12.7109375" customWidth="1"/>
    <col min="1286" max="1287" width="11.5703125" customWidth="1"/>
    <col min="1288" max="1288" width="13.7109375" customWidth="1"/>
    <col min="1289" max="1289" width="22.42578125" customWidth="1"/>
    <col min="1537" max="1537" width="6.5703125" customWidth="1"/>
    <col min="1538" max="1538" width="35.5703125" customWidth="1"/>
    <col min="1539" max="1539" width="17.42578125" customWidth="1"/>
    <col min="1540" max="1540" width="11.5703125" customWidth="1"/>
    <col min="1541" max="1541" width="12.7109375" customWidth="1"/>
    <col min="1542" max="1543" width="11.5703125" customWidth="1"/>
    <col min="1544" max="1544" width="13.7109375" customWidth="1"/>
    <col min="1545" max="1545" width="22.42578125" customWidth="1"/>
    <col min="1793" max="1793" width="6.5703125" customWidth="1"/>
    <col min="1794" max="1794" width="35.5703125" customWidth="1"/>
    <col min="1795" max="1795" width="17.42578125" customWidth="1"/>
    <col min="1796" max="1796" width="11.5703125" customWidth="1"/>
    <col min="1797" max="1797" width="12.7109375" customWidth="1"/>
    <col min="1798" max="1799" width="11.5703125" customWidth="1"/>
    <col min="1800" max="1800" width="13.7109375" customWidth="1"/>
    <col min="1801" max="1801" width="22.42578125" customWidth="1"/>
    <col min="2049" max="2049" width="6.5703125" customWidth="1"/>
    <col min="2050" max="2050" width="35.5703125" customWidth="1"/>
    <col min="2051" max="2051" width="17.42578125" customWidth="1"/>
    <col min="2052" max="2052" width="11.5703125" customWidth="1"/>
    <col min="2053" max="2053" width="12.7109375" customWidth="1"/>
    <col min="2054" max="2055" width="11.5703125" customWidth="1"/>
    <col min="2056" max="2056" width="13.7109375" customWidth="1"/>
    <col min="2057" max="2057" width="22.42578125" customWidth="1"/>
    <col min="2305" max="2305" width="6.5703125" customWidth="1"/>
    <col min="2306" max="2306" width="35.5703125" customWidth="1"/>
    <col min="2307" max="2307" width="17.42578125" customWidth="1"/>
    <col min="2308" max="2308" width="11.5703125" customWidth="1"/>
    <col min="2309" max="2309" width="12.7109375" customWidth="1"/>
    <col min="2310" max="2311" width="11.5703125" customWidth="1"/>
    <col min="2312" max="2312" width="13.7109375" customWidth="1"/>
    <col min="2313" max="2313" width="22.42578125" customWidth="1"/>
    <col min="2561" max="2561" width="6.5703125" customWidth="1"/>
    <col min="2562" max="2562" width="35.5703125" customWidth="1"/>
    <col min="2563" max="2563" width="17.42578125" customWidth="1"/>
    <col min="2564" max="2564" width="11.5703125" customWidth="1"/>
    <col min="2565" max="2565" width="12.7109375" customWidth="1"/>
    <col min="2566" max="2567" width="11.5703125" customWidth="1"/>
    <col min="2568" max="2568" width="13.7109375" customWidth="1"/>
    <col min="2569" max="2569" width="22.42578125" customWidth="1"/>
    <col min="2817" max="2817" width="6.5703125" customWidth="1"/>
    <col min="2818" max="2818" width="35.5703125" customWidth="1"/>
    <col min="2819" max="2819" width="17.42578125" customWidth="1"/>
    <col min="2820" max="2820" width="11.5703125" customWidth="1"/>
    <col min="2821" max="2821" width="12.7109375" customWidth="1"/>
    <col min="2822" max="2823" width="11.5703125" customWidth="1"/>
    <col min="2824" max="2824" width="13.7109375" customWidth="1"/>
    <col min="2825" max="2825" width="22.42578125" customWidth="1"/>
    <col min="3073" max="3073" width="6.5703125" customWidth="1"/>
    <col min="3074" max="3074" width="35.5703125" customWidth="1"/>
    <col min="3075" max="3075" width="17.42578125" customWidth="1"/>
    <col min="3076" max="3076" width="11.5703125" customWidth="1"/>
    <col min="3077" max="3077" width="12.7109375" customWidth="1"/>
    <col min="3078" max="3079" width="11.5703125" customWidth="1"/>
    <col min="3080" max="3080" width="13.7109375" customWidth="1"/>
    <col min="3081" max="3081" width="22.42578125" customWidth="1"/>
    <col min="3329" max="3329" width="6.5703125" customWidth="1"/>
    <col min="3330" max="3330" width="35.5703125" customWidth="1"/>
    <col min="3331" max="3331" width="17.42578125" customWidth="1"/>
    <col min="3332" max="3332" width="11.5703125" customWidth="1"/>
    <col min="3333" max="3333" width="12.7109375" customWidth="1"/>
    <col min="3334" max="3335" width="11.5703125" customWidth="1"/>
    <col min="3336" max="3336" width="13.7109375" customWidth="1"/>
    <col min="3337" max="3337" width="22.42578125" customWidth="1"/>
    <col min="3585" max="3585" width="6.5703125" customWidth="1"/>
    <col min="3586" max="3586" width="35.5703125" customWidth="1"/>
    <col min="3587" max="3587" width="17.42578125" customWidth="1"/>
    <col min="3588" max="3588" width="11.5703125" customWidth="1"/>
    <col min="3589" max="3589" width="12.7109375" customWidth="1"/>
    <col min="3590" max="3591" width="11.5703125" customWidth="1"/>
    <col min="3592" max="3592" width="13.7109375" customWidth="1"/>
    <col min="3593" max="3593" width="22.42578125" customWidth="1"/>
    <col min="3841" max="3841" width="6.5703125" customWidth="1"/>
    <col min="3842" max="3842" width="35.5703125" customWidth="1"/>
    <col min="3843" max="3843" width="17.42578125" customWidth="1"/>
    <col min="3844" max="3844" width="11.5703125" customWidth="1"/>
    <col min="3845" max="3845" width="12.7109375" customWidth="1"/>
    <col min="3846" max="3847" width="11.5703125" customWidth="1"/>
    <col min="3848" max="3848" width="13.7109375" customWidth="1"/>
    <col min="3849" max="3849" width="22.42578125" customWidth="1"/>
    <col min="4097" max="4097" width="6.5703125" customWidth="1"/>
    <col min="4098" max="4098" width="35.5703125" customWidth="1"/>
    <col min="4099" max="4099" width="17.42578125" customWidth="1"/>
    <col min="4100" max="4100" width="11.5703125" customWidth="1"/>
    <col min="4101" max="4101" width="12.7109375" customWidth="1"/>
    <col min="4102" max="4103" width="11.5703125" customWidth="1"/>
    <col min="4104" max="4104" width="13.7109375" customWidth="1"/>
    <col min="4105" max="4105" width="22.42578125" customWidth="1"/>
    <col min="4353" max="4353" width="6.5703125" customWidth="1"/>
    <col min="4354" max="4354" width="35.5703125" customWidth="1"/>
    <col min="4355" max="4355" width="17.42578125" customWidth="1"/>
    <col min="4356" max="4356" width="11.5703125" customWidth="1"/>
    <col min="4357" max="4357" width="12.7109375" customWidth="1"/>
    <col min="4358" max="4359" width="11.5703125" customWidth="1"/>
    <col min="4360" max="4360" width="13.7109375" customWidth="1"/>
    <col min="4361" max="4361" width="22.42578125" customWidth="1"/>
    <col min="4609" max="4609" width="6.5703125" customWidth="1"/>
    <col min="4610" max="4610" width="35.5703125" customWidth="1"/>
    <col min="4611" max="4611" width="17.42578125" customWidth="1"/>
    <col min="4612" max="4612" width="11.5703125" customWidth="1"/>
    <col min="4613" max="4613" width="12.7109375" customWidth="1"/>
    <col min="4614" max="4615" width="11.5703125" customWidth="1"/>
    <col min="4616" max="4616" width="13.7109375" customWidth="1"/>
    <col min="4617" max="4617" width="22.42578125" customWidth="1"/>
    <col min="4865" max="4865" width="6.5703125" customWidth="1"/>
    <col min="4866" max="4866" width="35.5703125" customWidth="1"/>
    <col min="4867" max="4867" width="17.42578125" customWidth="1"/>
    <col min="4868" max="4868" width="11.5703125" customWidth="1"/>
    <col min="4869" max="4869" width="12.7109375" customWidth="1"/>
    <col min="4870" max="4871" width="11.5703125" customWidth="1"/>
    <col min="4872" max="4872" width="13.7109375" customWidth="1"/>
    <col min="4873" max="4873" width="22.42578125" customWidth="1"/>
    <col min="5121" max="5121" width="6.5703125" customWidth="1"/>
    <col min="5122" max="5122" width="35.5703125" customWidth="1"/>
    <col min="5123" max="5123" width="17.42578125" customWidth="1"/>
    <col min="5124" max="5124" width="11.5703125" customWidth="1"/>
    <col min="5125" max="5125" width="12.7109375" customWidth="1"/>
    <col min="5126" max="5127" width="11.5703125" customWidth="1"/>
    <col min="5128" max="5128" width="13.7109375" customWidth="1"/>
    <col min="5129" max="5129" width="22.42578125" customWidth="1"/>
    <col min="5377" max="5377" width="6.5703125" customWidth="1"/>
    <col min="5378" max="5378" width="35.5703125" customWidth="1"/>
    <col min="5379" max="5379" width="17.42578125" customWidth="1"/>
    <col min="5380" max="5380" width="11.5703125" customWidth="1"/>
    <col min="5381" max="5381" width="12.7109375" customWidth="1"/>
    <col min="5382" max="5383" width="11.5703125" customWidth="1"/>
    <col min="5384" max="5384" width="13.7109375" customWidth="1"/>
    <col min="5385" max="5385" width="22.42578125" customWidth="1"/>
    <col min="5633" max="5633" width="6.5703125" customWidth="1"/>
    <col min="5634" max="5634" width="35.5703125" customWidth="1"/>
    <col min="5635" max="5635" width="17.42578125" customWidth="1"/>
    <col min="5636" max="5636" width="11.5703125" customWidth="1"/>
    <col min="5637" max="5637" width="12.7109375" customWidth="1"/>
    <col min="5638" max="5639" width="11.5703125" customWidth="1"/>
    <col min="5640" max="5640" width="13.7109375" customWidth="1"/>
    <col min="5641" max="5641" width="22.42578125" customWidth="1"/>
    <col min="5889" max="5889" width="6.5703125" customWidth="1"/>
    <col min="5890" max="5890" width="35.5703125" customWidth="1"/>
    <col min="5891" max="5891" width="17.42578125" customWidth="1"/>
    <col min="5892" max="5892" width="11.5703125" customWidth="1"/>
    <col min="5893" max="5893" width="12.7109375" customWidth="1"/>
    <col min="5894" max="5895" width="11.5703125" customWidth="1"/>
    <col min="5896" max="5896" width="13.7109375" customWidth="1"/>
    <col min="5897" max="5897" width="22.42578125" customWidth="1"/>
    <col min="6145" max="6145" width="6.5703125" customWidth="1"/>
    <col min="6146" max="6146" width="35.5703125" customWidth="1"/>
    <col min="6147" max="6147" width="17.42578125" customWidth="1"/>
    <col min="6148" max="6148" width="11.5703125" customWidth="1"/>
    <col min="6149" max="6149" width="12.7109375" customWidth="1"/>
    <col min="6150" max="6151" width="11.5703125" customWidth="1"/>
    <col min="6152" max="6152" width="13.7109375" customWidth="1"/>
    <col min="6153" max="6153" width="22.42578125" customWidth="1"/>
    <col min="6401" max="6401" width="6.5703125" customWidth="1"/>
    <col min="6402" max="6402" width="35.5703125" customWidth="1"/>
    <col min="6403" max="6403" width="17.42578125" customWidth="1"/>
    <col min="6404" max="6404" width="11.5703125" customWidth="1"/>
    <col min="6405" max="6405" width="12.7109375" customWidth="1"/>
    <col min="6406" max="6407" width="11.5703125" customWidth="1"/>
    <col min="6408" max="6408" width="13.7109375" customWidth="1"/>
    <col min="6409" max="6409" width="22.42578125" customWidth="1"/>
    <col min="6657" max="6657" width="6.5703125" customWidth="1"/>
    <col min="6658" max="6658" width="35.5703125" customWidth="1"/>
    <col min="6659" max="6659" width="17.42578125" customWidth="1"/>
    <col min="6660" max="6660" width="11.5703125" customWidth="1"/>
    <col min="6661" max="6661" width="12.7109375" customWidth="1"/>
    <col min="6662" max="6663" width="11.5703125" customWidth="1"/>
    <col min="6664" max="6664" width="13.7109375" customWidth="1"/>
    <col min="6665" max="6665" width="22.42578125" customWidth="1"/>
    <col min="6913" max="6913" width="6.5703125" customWidth="1"/>
    <col min="6914" max="6914" width="35.5703125" customWidth="1"/>
    <col min="6915" max="6915" width="17.42578125" customWidth="1"/>
    <col min="6916" max="6916" width="11.5703125" customWidth="1"/>
    <col min="6917" max="6917" width="12.7109375" customWidth="1"/>
    <col min="6918" max="6919" width="11.5703125" customWidth="1"/>
    <col min="6920" max="6920" width="13.7109375" customWidth="1"/>
    <col min="6921" max="6921" width="22.42578125" customWidth="1"/>
    <col min="7169" max="7169" width="6.5703125" customWidth="1"/>
    <col min="7170" max="7170" width="35.5703125" customWidth="1"/>
    <col min="7171" max="7171" width="17.42578125" customWidth="1"/>
    <col min="7172" max="7172" width="11.5703125" customWidth="1"/>
    <col min="7173" max="7173" width="12.7109375" customWidth="1"/>
    <col min="7174" max="7175" width="11.5703125" customWidth="1"/>
    <col min="7176" max="7176" width="13.7109375" customWidth="1"/>
    <col min="7177" max="7177" width="22.42578125" customWidth="1"/>
    <col min="7425" max="7425" width="6.5703125" customWidth="1"/>
    <col min="7426" max="7426" width="35.5703125" customWidth="1"/>
    <col min="7427" max="7427" width="17.42578125" customWidth="1"/>
    <col min="7428" max="7428" width="11.5703125" customWidth="1"/>
    <col min="7429" max="7429" width="12.7109375" customWidth="1"/>
    <col min="7430" max="7431" width="11.5703125" customWidth="1"/>
    <col min="7432" max="7432" width="13.7109375" customWidth="1"/>
    <col min="7433" max="7433" width="22.42578125" customWidth="1"/>
    <col min="7681" max="7681" width="6.5703125" customWidth="1"/>
    <col min="7682" max="7682" width="35.5703125" customWidth="1"/>
    <col min="7683" max="7683" width="17.42578125" customWidth="1"/>
    <col min="7684" max="7684" width="11.5703125" customWidth="1"/>
    <col min="7685" max="7685" width="12.7109375" customWidth="1"/>
    <col min="7686" max="7687" width="11.5703125" customWidth="1"/>
    <col min="7688" max="7688" width="13.7109375" customWidth="1"/>
    <col min="7689" max="7689" width="22.42578125" customWidth="1"/>
    <col min="7937" max="7937" width="6.5703125" customWidth="1"/>
    <col min="7938" max="7938" width="35.5703125" customWidth="1"/>
    <col min="7939" max="7939" width="17.42578125" customWidth="1"/>
    <col min="7940" max="7940" width="11.5703125" customWidth="1"/>
    <col min="7941" max="7941" width="12.7109375" customWidth="1"/>
    <col min="7942" max="7943" width="11.5703125" customWidth="1"/>
    <col min="7944" max="7944" width="13.7109375" customWidth="1"/>
    <col min="7945" max="7945" width="22.42578125" customWidth="1"/>
    <col min="8193" max="8193" width="6.5703125" customWidth="1"/>
    <col min="8194" max="8194" width="35.5703125" customWidth="1"/>
    <col min="8195" max="8195" width="17.42578125" customWidth="1"/>
    <col min="8196" max="8196" width="11.5703125" customWidth="1"/>
    <col min="8197" max="8197" width="12.7109375" customWidth="1"/>
    <col min="8198" max="8199" width="11.5703125" customWidth="1"/>
    <col min="8200" max="8200" width="13.7109375" customWidth="1"/>
    <col min="8201" max="8201" width="22.42578125" customWidth="1"/>
    <col min="8449" max="8449" width="6.5703125" customWidth="1"/>
    <col min="8450" max="8450" width="35.5703125" customWidth="1"/>
    <col min="8451" max="8451" width="17.42578125" customWidth="1"/>
    <col min="8452" max="8452" width="11.5703125" customWidth="1"/>
    <col min="8453" max="8453" width="12.7109375" customWidth="1"/>
    <col min="8454" max="8455" width="11.5703125" customWidth="1"/>
    <col min="8456" max="8456" width="13.7109375" customWidth="1"/>
    <col min="8457" max="8457" width="22.42578125" customWidth="1"/>
    <col min="8705" max="8705" width="6.5703125" customWidth="1"/>
    <col min="8706" max="8706" width="35.5703125" customWidth="1"/>
    <col min="8707" max="8707" width="17.42578125" customWidth="1"/>
    <col min="8708" max="8708" width="11.5703125" customWidth="1"/>
    <col min="8709" max="8709" width="12.7109375" customWidth="1"/>
    <col min="8710" max="8711" width="11.5703125" customWidth="1"/>
    <col min="8712" max="8712" width="13.7109375" customWidth="1"/>
    <col min="8713" max="8713" width="22.42578125" customWidth="1"/>
    <col min="8961" max="8961" width="6.5703125" customWidth="1"/>
    <col min="8962" max="8962" width="35.5703125" customWidth="1"/>
    <col min="8963" max="8963" width="17.42578125" customWidth="1"/>
    <col min="8964" max="8964" width="11.5703125" customWidth="1"/>
    <col min="8965" max="8965" width="12.7109375" customWidth="1"/>
    <col min="8966" max="8967" width="11.5703125" customWidth="1"/>
    <col min="8968" max="8968" width="13.7109375" customWidth="1"/>
    <col min="8969" max="8969" width="22.42578125" customWidth="1"/>
    <col min="9217" max="9217" width="6.5703125" customWidth="1"/>
    <col min="9218" max="9218" width="35.5703125" customWidth="1"/>
    <col min="9219" max="9219" width="17.42578125" customWidth="1"/>
    <col min="9220" max="9220" width="11.5703125" customWidth="1"/>
    <col min="9221" max="9221" width="12.7109375" customWidth="1"/>
    <col min="9222" max="9223" width="11.5703125" customWidth="1"/>
    <col min="9224" max="9224" width="13.7109375" customWidth="1"/>
    <col min="9225" max="9225" width="22.42578125" customWidth="1"/>
    <col min="9473" max="9473" width="6.5703125" customWidth="1"/>
    <col min="9474" max="9474" width="35.5703125" customWidth="1"/>
    <col min="9475" max="9475" width="17.42578125" customWidth="1"/>
    <col min="9476" max="9476" width="11.5703125" customWidth="1"/>
    <col min="9477" max="9477" width="12.7109375" customWidth="1"/>
    <col min="9478" max="9479" width="11.5703125" customWidth="1"/>
    <col min="9480" max="9480" width="13.7109375" customWidth="1"/>
    <col min="9481" max="9481" width="22.42578125" customWidth="1"/>
    <col min="9729" max="9729" width="6.5703125" customWidth="1"/>
    <col min="9730" max="9730" width="35.5703125" customWidth="1"/>
    <col min="9731" max="9731" width="17.42578125" customWidth="1"/>
    <col min="9732" max="9732" width="11.5703125" customWidth="1"/>
    <col min="9733" max="9733" width="12.7109375" customWidth="1"/>
    <col min="9734" max="9735" width="11.5703125" customWidth="1"/>
    <col min="9736" max="9736" width="13.7109375" customWidth="1"/>
    <col min="9737" max="9737" width="22.42578125" customWidth="1"/>
    <col min="9985" max="9985" width="6.5703125" customWidth="1"/>
    <col min="9986" max="9986" width="35.5703125" customWidth="1"/>
    <col min="9987" max="9987" width="17.42578125" customWidth="1"/>
    <col min="9988" max="9988" width="11.5703125" customWidth="1"/>
    <col min="9989" max="9989" width="12.7109375" customWidth="1"/>
    <col min="9990" max="9991" width="11.5703125" customWidth="1"/>
    <col min="9992" max="9992" width="13.7109375" customWidth="1"/>
    <col min="9993" max="9993" width="22.42578125" customWidth="1"/>
    <col min="10241" max="10241" width="6.5703125" customWidth="1"/>
    <col min="10242" max="10242" width="35.5703125" customWidth="1"/>
    <col min="10243" max="10243" width="17.42578125" customWidth="1"/>
    <col min="10244" max="10244" width="11.5703125" customWidth="1"/>
    <col min="10245" max="10245" width="12.7109375" customWidth="1"/>
    <col min="10246" max="10247" width="11.5703125" customWidth="1"/>
    <col min="10248" max="10248" width="13.7109375" customWidth="1"/>
    <col min="10249" max="10249" width="22.42578125" customWidth="1"/>
    <col min="10497" max="10497" width="6.5703125" customWidth="1"/>
    <col min="10498" max="10498" width="35.5703125" customWidth="1"/>
    <col min="10499" max="10499" width="17.42578125" customWidth="1"/>
    <col min="10500" max="10500" width="11.5703125" customWidth="1"/>
    <col min="10501" max="10501" width="12.7109375" customWidth="1"/>
    <col min="10502" max="10503" width="11.5703125" customWidth="1"/>
    <col min="10504" max="10504" width="13.7109375" customWidth="1"/>
    <col min="10505" max="10505" width="22.42578125" customWidth="1"/>
    <col min="10753" max="10753" width="6.5703125" customWidth="1"/>
    <col min="10754" max="10754" width="35.5703125" customWidth="1"/>
    <col min="10755" max="10755" width="17.42578125" customWidth="1"/>
    <col min="10756" max="10756" width="11.5703125" customWidth="1"/>
    <col min="10757" max="10757" width="12.7109375" customWidth="1"/>
    <col min="10758" max="10759" width="11.5703125" customWidth="1"/>
    <col min="10760" max="10760" width="13.7109375" customWidth="1"/>
    <col min="10761" max="10761" width="22.42578125" customWidth="1"/>
    <col min="11009" max="11009" width="6.5703125" customWidth="1"/>
    <col min="11010" max="11010" width="35.5703125" customWidth="1"/>
    <col min="11011" max="11011" width="17.42578125" customWidth="1"/>
    <col min="11012" max="11012" width="11.5703125" customWidth="1"/>
    <col min="11013" max="11013" width="12.7109375" customWidth="1"/>
    <col min="11014" max="11015" width="11.5703125" customWidth="1"/>
    <col min="11016" max="11016" width="13.7109375" customWidth="1"/>
    <col min="11017" max="11017" width="22.42578125" customWidth="1"/>
    <col min="11265" max="11265" width="6.5703125" customWidth="1"/>
    <col min="11266" max="11266" width="35.5703125" customWidth="1"/>
    <col min="11267" max="11267" width="17.42578125" customWidth="1"/>
    <col min="11268" max="11268" width="11.5703125" customWidth="1"/>
    <col min="11269" max="11269" width="12.7109375" customWidth="1"/>
    <col min="11270" max="11271" width="11.5703125" customWidth="1"/>
    <col min="11272" max="11272" width="13.7109375" customWidth="1"/>
    <col min="11273" max="11273" width="22.42578125" customWidth="1"/>
    <col min="11521" max="11521" width="6.5703125" customWidth="1"/>
    <col min="11522" max="11522" width="35.5703125" customWidth="1"/>
    <col min="11523" max="11523" width="17.42578125" customWidth="1"/>
    <col min="11524" max="11524" width="11.5703125" customWidth="1"/>
    <col min="11525" max="11525" width="12.7109375" customWidth="1"/>
    <col min="11526" max="11527" width="11.5703125" customWidth="1"/>
    <col min="11528" max="11528" width="13.7109375" customWidth="1"/>
    <col min="11529" max="11529" width="22.42578125" customWidth="1"/>
    <col min="11777" max="11777" width="6.5703125" customWidth="1"/>
    <col min="11778" max="11778" width="35.5703125" customWidth="1"/>
    <col min="11779" max="11779" width="17.42578125" customWidth="1"/>
    <col min="11780" max="11780" width="11.5703125" customWidth="1"/>
    <col min="11781" max="11781" width="12.7109375" customWidth="1"/>
    <col min="11782" max="11783" width="11.5703125" customWidth="1"/>
    <col min="11784" max="11784" width="13.7109375" customWidth="1"/>
    <col min="11785" max="11785" width="22.42578125" customWidth="1"/>
    <col min="12033" max="12033" width="6.5703125" customWidth="1"/>
    <col min="12034" max="12034" width="35.5703125" customWidth="1"/>
    <col min="12035" max="12035" width="17.42578125" customWidth="1"/>
    <col min="12036" max="12036" width="11.5703125" customWidth="1"/>
    <col min="12037" max="12037" width="12.7109375" customWidth="1"/>
    <col min="12038" max="12039" width="11.5703125" customWidth="1"/>
    <col min="12040" max="12040" width="13.7109375" customWidth="1"/>
    <col min="12041" max="12041" width="22.42578125" customWidth="1"/>
    <col min="12289" max="12289" width="6.5703125" customWidth="1"/>
    <col min="12290" max="12290" width="35.5703125" customWidth="1"/>
    <col min="12291" max="12291" width="17.42578125" customWidth="1"/>
    <col min="12292" max="12292" width="11.5703125" customWidth="1"/>
    <col min="12293" max="12293" width="12.7109375" customWidth="1"/>
    <col min="12294" max="12295" width="11.5703125" customWidth="1"/>
    <col min="12296" max="12296" width="13.7109375" customWidth="1"/>
    <col min="12297" max="12297" width="22.42578125" customWidth="1"/>
    <col min="12545" max="12545" width="6.5703125" customWidth="1"/>
    <col min="12546" max="12546" width="35.5703125" customWidth="1"/>
    <col min="12547" max="12547" width="17.42578125" customWidth="1"/>
    <col min="12548" max="12548" width="11.5703125" customWidth="1"/>
    <col min="12549" max="12549" width="12.7109375" customWidth="1"/>
    <col min="12550" max="12551" width="11.5703125" customWidth="1"/>
    <col min="12552" max="12552" width="13.7109375" customWidth="1"/>
    <col min="12553" max="12553" width="22.42578125" customWidth="1"/>
    <col min="12801" max="12801" width="6.5703125" customWidth="1"/>
    <col min="12802" max="12802" width="35.5703125" customWidth="1"/>
    <col min="12803" max="12803" width="17.42578125" customWidth="1"/>
    <col min="12804" max="12804" width="11.5703125" customWidth="1"/>
    <col min="12805" max="12805" width="12.7109375" customWidth="1"/>
    <col min="12806" max="12807" width="11.5703125" customWidth="1"/>
    <col min="12808" max="12808" width="13.7109375" customWidth="1"/>
    <col min="12809" max="12809" width="22.42578125" customWidth="1"/>
    <col min="13057" max="13057" width="6.5703125" customWidth="1"/>
    <col min="13058" max="13058" width="35.5703125" customWidth="1"/>
    <col min="13059" max="13059" width="17.42578125" customWidth="1"/>
    <col min="13060" max="13060" width="11.5703125" customWidth="1"/>
    <col min="13061" max="13061" width="12.7109375" customWidth="1"/>
    <col min="13062" max="13063" width="11.5703125" customWidth="1"/>
    <col min="13064" max="13064" width="13.7109375" customWidth="1"/>
    <col min="13065" max="13065" width="22.42578125" customWidth="1"/>
    <col min="13313" max="13313" width="6.5703125" customWidth="1"/>
    <col min="13314" max="13314" width="35.5703125" customWidth="1"/>
    <col min="13315" max="13315" width="17.42578125" customWidth="1"/>
    <col min="13316" max="13316" width="11.5703125" customWidth="1"/>
    <col min="13317" max="13317" width="12.7109375" customWidth="1"/>
    <col min="13318" max="13319" width="11.5703125" customWidth="1"/>
    <col min="13320" max="13320" width="13.7109375" customWidth="1"/>
    <col min="13321" max="13321" width="22.42578125" customWidth="1"/>
    <col min="13569" max="13569" width="6.5703125" customWidth="1"/>
    <col min="13570" max="13570" width="35.5703125" customWidth="1"/>
    <col min="13571" max="13571" width="17.42578125" customWidth="1"/>
    <col min="13572" max="13572" width="11.5703125" customWidth="1"/>
    <col min="13573" max="13573" width="12.7109375" customWidth="1"/>
    <col min="13574" max="13575" width="11.5703125" customWidth="1"/>
    <col min="13576" max="13576" width="13.7109375" customWidth="1"/>
    <col min="13577" max="13577" width="22.42578125" customWidth="1"/>
    <col min="13825" max="13825" width="6.5703125" customWidth="1"/>
    <col min="13826" max="13826" width="35.5703125" customWidth="1"/>
    <col min="13827" max="13827" width="17.42578125" customWidth="1"/>
    <col min="13828" max="13828" width="11.5703125" customWidth="1"/>
    <col min="13829" max="13829" width="12.7109375" customWidth="1"/>
    <col min="13830" max="13831" width="11.5703125" customWidth="1"/>
    <col min="13832" max="13832" width="13.7109375" customWidth="1"/>
    <col min="13833" max="13833" width="22.42578125" customWidth="1"/>
    <col min="14081" max="14081" width="6.5703125" customWidth="1"/>
    <col min="14082" max="14082" width="35.5703125" customWidth="1"/>
    <col min="14083" max="14083" width="17.42578125" customWidth="1"/>
    <col min="14084" max="14084" width="11.5703125" customWidth="1"/>
    <col min="14085" max="14085" width="12.7109375" customWidth="1"/>
    <col min="14086" max="14087" width="11.5703125" customWidth="1"/>
    <col min="14088" max="14088" width="13.7109375" customWidth="1"/>
    <col min="14089" max="14089" width="22.42578125" customWidth="1"/>
    <col min="14337" max="14337" width="6.5703125" customWidth="1"/>
    <col min="14338" max="14338" width="35.5703125" customWidth="1"/>
    <col min="14339" max="14339" width="17.42578125" customWidth="1"/>
    <col min="14340" max="14340" width="11.5703125" customWidth="1"/>
    <col min="14341" max="14341" width="12.7109375" customWidth="1"/>
    <col min="14342" max="14343" width="11.5703125" customWidth="1"/>
    <col min="14344" max="14344" width="13.7109375" customWidth="1"/>
    <col min="14345" max="14345" width="22.42578125" customWidth="1"/>
    <col min="14593" max="14593" width="6.5703125" customWidth="1"/>
    <col min="14594" max="14594" width="35.5703125" customWidth="1"/>
    <col min="14595" max="14595" width="17.42578125" customWidth="1"/>
    <col min="14596" max="14596" width="11.5703125" customWidth="1"/>
    <col min="14597" max="14597" width="12.7109375" customWidth="1"/>
    <col min="14598" max="14599" width="11.5703125" customWidth="1"/>
    <col min="14600" max="14600" width="13.7109375" customWidth="1"/>
    <col min="14601" max="14601" width="22.42578125" customWidth="1"/>
    <col min="14849" max="14849" width="6.5703125" customWidth="1"/>
    <col min="14850" max="14850" width="35.5703125" customWidth="1"/>
    <col min="14851" max="14851" width="17.42578125" customWidth="1"/>
    <col min="14852" max="14852" width="11.5703125" customWidth="1"/>
    <col min="14853" max="14853" width="12.7109375" customWidth="1"/>
    <col min="14854" max="14855" width="11.5703125" customWidth="1"/>
    <col min="14856" max="14856" width="13.7109375" customWidth="1"/>
    <col min="14857" max="14857" width="22.42578125" customWidth="1"/>
    <col min="15105" max="15105" width="6.5703125" customWidth="1"/>
    <col min="15106" max="15106" width="35.5703125" customWidth="1"/>
    <col min="15107" max="15107" width="17.42578125" customWidth="1"/>
    <col min="15108" max="15108" width="11.5703125" customWidth="1"/>
    <col min="15109" max="15109" width="12.7109375" customWidth="1"/>
    <col min="15110" max="15111" width="11.5703125" customWidth="1"/>
    <col min="15112" max="15112" width="13.7109375" customWidth="1"/>
    <col min="15113" max="15113" width="22.42578125" customWidth="1"/>
    <col min="15361" max="15361" width="6.5703125" customWidth="1"/>
    <col min="15362" max="15362" width="35.5703125" customWidth="1"/>
    <col min="15363" max="15363" width="17.42578125" customWidth="1"/>
    <col min="15364" max="15364" width="11.5703125" customWidth="1"/>
    <col min="15365" max="15365" width="12.7109375" customWidth="1"/>
    <col min="15366" max="15367" width="11.5703125" customWidth="1"/>
    <col min="15368" max="15368" width="13.7109375" customWidth="1"/>
    <col min="15369" max="15369" width="22.42578125" customWidth="1"/>
    <col min="15617" max="15617" width="6.5703125" customWidth="1"/>
    <col min="15618" max="15618" width="35.5703125" customWidth="1"/>
    <col min="15619" max="15619" width="17.42578125" customWidth="1"/>
    <col min="15620" max="15620" width="11.5703125" customWidth="1"/>
    <col min="15621" max="15621" width="12.7109375" customWidth="1"/>
    <col min="15622" max="15623" width="11.5703125" customWidth="1"/>
    <col min="15624" max="15624" width="13.7109375" customWidth="1"/>
    <col min="15625" max="15625" width="22.42578125" customWidth="1"/>
    <col min="15873" max="15873" width="6.5703125" customWidth="1"/>
    <col min="15874" max="15874" width="35.5703125" customWidth="1"/>
    <col min="15875" max="15875" width="17.42578125" customWidth="1"/>
    <col min="15876" max="15876" width="11.5703125" customWidth="1"/>
    <col min="15877" max="15877" width="12.7109375" customWidth="1"/>
    <col min="15878" max="15879" width="11.5703125" customWidth="1"/>
    <col min="15880" max="15880" width="13.7109375" customWidth="1"/>
    <col min="15881" max="15881" width="22.42578125" customWidth="1"/>
    <col min="16129" max="16129" width="6.5703125" customWidth="1"/>
    <col min="16130" max="16130" width="35.5703125" customWidth="1"/>
    <col min="16131" max="16131" width="17.42578125" customWidth="1"/>
    <col min="16132" max="16132" width="11.5703125" customWidth="1"/>
    <col min="16133" max="16133" width="12.7109375" customWidth="1"/>
    <col min="16134" max="16135" width="11.5703125" customWidth="1"/>
    <col min="16136" max="16136" width="13.7109375" customWidth="1"/>
    <col min="16137" max="16137" width="22.42578125" customWidth="1"/>
  </cols>
  <sheetData>
    <row r="1" spans="1:9" ht="18.75" x14ac:dyDescent="0.3">
      <c r="A1" s="1020" t="s">
        <v>284</v>
      </c>
      <c r="B1" s="1020"/>
      <c r="C1" s="1020"/>
      <c r="D1" s="1020"/>
      <c r="E1" s="1020"/>
      <c r="F1" s="1020"/>
      <c r="G1" s="1020"/>
      <c r="H1" s="1020"/>
      <c r="I1" s="1020"/>
    </row>
    <row r="2" spans="1:9" ht="18.75" x14ac:dyDescent="0.3">
      <c r="A2" s="1020" t="s">
        <v>285</v>
      </c>
      <c r="B2" s="1020"/>
      <c r="C2" s="1020"/>
      <c r="D2" s="1020"/>
      <c r="E2" s="1020"/>
      <c r="F2" s="1020"/>
      <c r="G2" s="1020"/>
      <c r="H2" s="1020"/>
      <c r="I2" s="1020"/>
    </row>
    <row r="3" spans="1:9" ht="18.75" x14ac:dyDescent="0.3">
      <c r="A3" s="1020" t="s">
        <v>588</v>
      </c>
      <c r="B3" s="1020"/>
      <c r="C3" s="1020"/>
      <c r="D3" s="1020"/>
      <c r="E3" s="1020"/>
      <c r="F3" s="1020"/>
      <c r="G3" s="1020"/>
      <c r="H3" s="1020"/>
      <c r="I3" s="1020"/>
    </row>
    <row r="4" spans="1:9" x14ac:dyDescent="0.25">
      <c r="A4" s="1021" t="str">
        <f>мз!A14</f>
        <v>муниципальное бюджетное общеобразовательное учреждение "Средняя общеобразовательная школа № 43 г. Пензы"</v>
      </c>
      <c r="B4" s="1021"/>
      <c r="C4" s="1021"/>
      <c r="D4" s="1021"/>
      <c r="E4" s="1021"/>
      <c r="F4" s="1021"/>
      <c r="G4" s="1021"/>
      <c r="H4" s="1021"/>
      <c r="I4" s="1021"/>
    </row>
    <row r="5" spans="1:9" ht="18" customHeight="1" x14ac:dyDescent="0.3">
      <c r="A5" s="1020"/>
      <c r="B5" s="1020"/>
      <c r="C5" s="1020"/>
      <c r="D5" s="1020"/>
      <c r="E5" s="1020"/>
    </row>
    <row r="6" spans="1:9" hidden="1" x14ac:dyDescent="0.25"/>
    <row r="7" spans="1:9" s="246" customFormat="1" ht="30" customHeight="1" x14ac:dyDescent="0.25">
      <c r="A7" s="1022" t="s">
        <v>286</v>
      </c>
      <c r="B7" s="1022" t="s">
        <v>287</v>
      </c>
      <c r="C7" s="1022" t="s">
        <v>589</v>
      </c>
      <c r="D7" s="1022" t="s">
        <v>288</v>
      </c>
      <c r="E7" s="1022"/>
      <c r="F7" s="1022" t="s">
        <v>289</v>
      </c>
      <c r="G7" s="1022"/>
      <c r="H7" s="1017" t="s">
        <v>290</v>
      </c>
      <c r="I7" s="1018" t="s">
        <v>291</v>
      </c>
    </row>
    <row r="8" spans="1:9" ht="45" x14ac:dyDescent="0.25">
      <c r="A8" s="1022"/>
      <c r="B8" s="1022"/>
      <c r="C8" s="1022"/>
      <c r="D8" s="247" t="s">
        <v>292</v>
      </c>
      <c r="E8" s="247" t="s">
        <v>293</v>
      </c>
      <c r="F8" s="247" t="s">
        <v>292</v>
      </c>
      <c r="G8" s="247" t="s">
        <v>293</v>
      </c>
      <c r="H8" s="1017"/>
      <c r="I8" s="1019"/>
    </row>
    <row r="9" spans="1:9" ht="45" x14ac:dyDescent="0.25">
      <c r="A9" s="248"/>
      <c r="B9" s="249" t="s">
        <v>294</v>
      </c>
      <c r="C9" s="250">
        <f>'проверка 2020'!C6</f>
        <v>21506678</v>
      </c>
      <c r="D9" s="250">
        <v>4826584.91</v>
      </c>
      <c r="E9" s="250">
        <v>4826584.91</v>
      </c>
      <c r="F9" s="250">
        <v>4540582.8899999997</v>
      </c>
      <c r="G9" s="250">
        <v>4540582.8899999997</v>
      </c>
      <c r="H9" s="250">
        <f t="shared" ref="H9:H17" si="0">D9-F9</f>
        <v>286002.02000000048</v>
      </c>
      <c r="I9" s="251"/>
    </row>
    <row r="10" spans="1:9" ht="45" x14ac:dyDescent="0.25">
      <c r="A10" s="252">
        <f>A9+1</f>
        <v>1</v>
      </c>
      <c r="B10" s="247" t="s">
        <v>234</v>
      </c>
      <c r="C10" s="253">
        <f>C9-C11-C12-C13-C14-C15</f>
        <v>9836387.6124031022</v>
      </c>
      <c r="D10" s="253">
        <f t="shared" ref="D10:G10" si="1">D9-D11-D12-D13-D14-D15</f>
        <v>2207507.8270542636</v>
      </c>
      <c r="E10" s="253">
        <f t="shared" si="1"/>
        <v>2207507.8270542636</v>
      </c>
      <c r="F10" s="253">
        <f t="shared" si="1"/>
        <v>2076700.7016279064</v>
      </c>
      <c r="G10" s="253">
        <f t="shared" si="1"/>
        <v>2076700.7016279064</v>
      </c>
      <c r="H10" s="253">
        <f t="shared" si="0"/>
        <v>130807.12542635715</v>
      </c>
      <c r="I10" s="254"/>
    </row>
    <row r="11" spans="1:9" ht="45" x14ac:dyDescent="0.25">
      <c r="A11" s="252">
        <f>A10+1</f>
        <v>2</v>
      </c>
      <c r="B11" s="247" t="s">
        <v>235</v>
      </c>
      <c r="C11" s="253">
        <f>'304'!C9/'проверка 2020'!$E$4*'проверка 2020'!$K$4</f>
        <v>9419591.5271317828</v>
      </c>
      <c r="D11" s="253">
        <f>'304'!D9/'проверка 2020'!$E$4*'проверка 2020'!$K$4</f>
        <v>2113969.3598062019</v>
      </c>
      <c r="E11" s="253">
        <f>'304'!E9/'проверка 2020'!$E$4*'проверка 2020'!$K$4</f>
        <v>2113969.3598062019</v>
      </c>
      <c r="F11" s="253">
        <f>'304'!F9/'проверка 2020'!$E$4*'проверка 2020'!$K$4</f>
        <v>1988704.9091860466</v>
      </c>
      <c r="G11" s="253">
        <f>'304'!G9/'проверка 2020'!$E$4*'проверка 2020'!$K$4</f>
        <v>1988704.9091860466</v>
      </c>
      <c r="H11" s="253">
        <f t="shared" si="0"/>
        <v>125264.45062015532</v>
      </c>
      <c r="I11" s="254"/>
    </row>
    <row r="12" spans="1:9" ht="45" x14ac:dyDescent="0.25">
      <c r="A12" s="252">
        <f>A11+1</f>
        <v>3</v>
      </c>
      <c r="B12" s="247" t="s">
        <v>236</v>
      </c>
      <c r="C12" s="253">
        <f>C9/'проверка 2020'!$E$4*'проверка 2020'!$M$4</f>
        <v>2083980.4263565894</v>
      </c>
      <c r="D12" s="253">
        <f>D9/'проверка 2020'!$E$4*'проверка 2020'!$M$4</f>
        <v>467692.33624031011</v>
      </c>
      <c r="E12" s="253">
        <f>E9/'проверка 2020'!$E$4*'проверка 2020'!$M$4</f>
        <v>467692.33624031011</v>
      </c>
      <c r="F12" s="253">
        <f>F9/'проверка 2020'!$E$4*'проверка 2020'!$M$4</f>
        <v>439978.96220930235</v>
      </c>
      <c r="G12" s="253">
        <f>G9/'проверка 2020'!$E$4*'проверка 2020'!$M$4</f>
        <v>439978.96220930235</v>
      </c>
      <c r="H12" s="253">
        <f t="shared" si="0"/>
        <v>27713.374031007756</v>
      </c>
      <c r="I12" s="254"/>
    </row>
    <row r="13" spans="1:9" ht="48.75" customHeight="1" x14ac:dyDescent="0.25">
      <c r="A13" s="252">
        <f>A12+1</f>
        <v>4</v>
      </c>
      <c r="B13" s="247" t="s">
        <v>238</v>
      </c>
      <c r="C13" s="253">
        <f>C9/'проверка 2020'!$E$4*'проверка 2020'!$J$4</f>
        <v>83359.217054263572</v>
      </c>
      <c r="D13" s="253">
        <f>D9/'проверка 2020'!$E$4*'проверка 2020'!$J$4</f>
        <v>18707.693449612405</v>
      </c>
      <c r="E13" s="253">
        <f>E9/'проверка 2020'!$E$4*'проверка 2020'!$J$4</f>
        <v>18707.693449612405</v>
      </c>
      <c r="F13" s="253">
        <f>F9/'проверка 2020'!$E$4*'проверка 2020'!$J$4</f>
        <v>17599.158488372093</v>
      </c>
      <c r="G13" s="253">
        <f>G9/'проверка 2020'!$E$4*'проверка 2020'!$J$4</f>
        <v>17599.158488372093</v>
      </c>
      <c r="H13" s="253">
        <f t="shared" si="0"/>
        <v>1108.5349612403115</v>
      </c>
      <c r="I13" s="254"/>
    </row>
    <row r="14" spans="1:9" ht="48.75" customHeight="1" x14ac:dyDescent="0.25">
      <c r="A14" s="252"/>
      <c r="B14" s="247" t="s">
        <v>569</v>
      </c>
      <c r="C14" s="253">
        <f>C9/'проверка 2020'!$E$4*'проверка 2020'!$L$4</f>
        <v>83359.217054263572</v>
      </c>
      <c r="D14" s="253">
        <f>D9/'проверка 2020'!$E$4*'проверка 2020'!$L$4</f>
        <v>18707.693449612405</v>
      </c>
      <c r="E14" s="253">
        <f>E9/'проверка 2020'!$E$4*'проверка 2020'!$L$4</f>
        <v>18707.693449612405</v>
      </c>
      <c r="F14" s="253">
        <f>F9/'проверка 2020'!$E$4*'проверка 2020'!$L$4</f>
        <v>17599.158488372093</v>
      </c>
      <c r="G14" s="253">
        <f>G9/'проверка 2020'!$E$4*'проверка 2020'!$L$4</f>
        <v>17599.158488372093</v>
      </c>
      <c r="H14" s="253">
        <f t="shared" si="0"/>
        <v>1108.5349612403115</v>
      </c>
      <c r="I14" s="254"/>
    </row>
    <row r="15" spans="1:9" ht="48.75" customHeight="1" x14ac:dyDescent="0.25">
      <c r="A15" s="252"/>
      <c r="B15" s="247" t="s">
        <v>238</v>
      </c>
      <c r="C15" s="253">
        <f>C9/'проверка 2020'!$E$4*'проверка 2020'!$N$4</f>
        <v>0</v>
      </c>
      <c r="D15" s="253">
        <f>D9/'проверка 2020'!$E$4*'проверка 2020'!$N$4</f>
        <v>0</v>
      </c>
      <c r="E15" s="253">
        <f>E9/'проверка 2020'!$E$4*'проверка 2020'!$N$4</f>
        <v>0</v>
      </c>
      <c r="F15" s="253">
        <f>F9/'проверка 2020'!$E$4*'проверка 2020'!$N$4</f>
        <v>0</v>
      </c>
      <c r="G15" s="253">
        <f>G9/'проверка 2020'!$E$4*'проверка 2020'!$N$4</f>
        <v>0</v>
      </c>
      <c r="H15" s="253">
        <f t="shared" si="0"/>
        <v>0</v>
      </c>
      <c r="I15" s="254"/>
    </row>
    <row r="16" spans="1:9" ht="34.5" customHeight="1" x14ac:dyDescent="0.25">
      <c r="A16" s="248"/>
      <c r="B16" s="249" t="s">
        <v>330</v>
      </c>
      <c r="C16" s="250">
        <f>'проверка фок'!B6</f>
        <v>0</v>
      </c>
      <c r="D16" s="250"/>
      <c r="E16" s="250"/>
      <c r="F16" s="250"/>
      <c r="G16" s="250"/>
      <c r="H16" s="250">
        <f t="shared" si="0"/>
        <v>0</v>
      </c>
      <c r="I16" s="592"/>
    </row>
    <row r="17" spans="1:9" ht="131.25" customHeight="1" x14ac:dyDescent="0.25">
      <c r="A17" s="252"/>
      <c r="B17" s="247" t="s">
        <v>295</v>
      </c>
      <c r="C17" s="253">
        <f>'проверка фок'!B34</f>
        <v>0</v>
      </c>
      <c r="D17" s="253"/>
      <c r="E17" s="253"/>
      <c r="F17" s="253"/>
      <c r="G17" s="253"/>
      <c r="H17" s="253">
        <f t="shared" si="0"/>
        <v>0</v>
      </c>
      <c r="I17" s="255"/>
    </row>
    <row r="18" spans="1:9" x14ac:dyDescent="0.25">
      <c r="D18" s="700">
        <f>D9+D16+D17</f>
        <v>4826584.91</v>
      </c>
      <c r="E18" s="700">
        <f>E9+E16+E17</f>
        <v>4826584.91</v>
      </c>
      <c r="F18" s="700">
        <f>F9+F16+F17</f>
        <v>4540582.8899999997</v>
      </c>
      <c r="G18" s="700">
        <f>G9+G16+G17</f>
        <v>4540582.8899999997</v>
      </c>
      <c r="H18" s="700">
        <f>H9+H16+H17</f>
        <v>286002.02000000048</v>
      </c>
      <c r="I18" s="701"/>
    </row>
    <row r="19" spans="1:9" x14ac:dyDescent="0.25">
      <c r="B19" t="s">
        <v>97</v>
      </c>
    </row>
    <row r="20" spans="1:9" x14ac:dyDescent="0.25">
      <c r="B20" s="15" t="s">
        <v>577</v>
      </c>
      <c r="C20" s="70"/>
      <c r="D20" s="211"/>
      <c r="E20" s="941" t="s">
        <v>578</v>
      </c>
      <c r="F20" s="942"/>
    </row>
    <row r="21" spans="1:9" x14ac:dyDescent="0.25">
      <c r="B21" s="67"/>
      <c r="C21" s="67"/>
      <c r="D21" s="67"/>
      <c r="E21" s="67"/>
      <c r="F21" s="14"/>
    </row>
    <row r="22" spans="1:9" x14ac:dyDescent="0.25">
      <c r="B22" s="11" t="s">
        <v>587</v>
      </c>
      <c r="C22" s="67"/>
      <c r="D22" s="212"/>
      <c r="E22" s="941" t="s">
        <v>580</v>
      </c>
      <c r="F22" s="942"/>
    </row>
    <row r="23" spans="1:9" x14ac:dyDescent="0.25">
      <c r="B23" s="280"/>
      <c r="C23" s="280"/>
      <c r="D23" s="280"/>
      <c r="E23" s="280"/>
      <c r="F23" s="280"/>
    </row>
    <row r="24" spans="1:9" x14ac:dyDescent="0.25">
      <c r="B24" s="256"/>
      <c r="C24" s="256"/>
      <c r="D24" s="256"/>
      <c r="E24" s="256"/>
      <c r="F24" s="256"/>
    </row>
    <row r="25" spans="1:9" x14ac:dyDescent="0.25">
      <c r="C25" t="s">
        <v>97</v>
      </c>
    </row>
  </sheetData>
  <mergeCells count="14">
    <mergeCell ref="E20:F20"/>
    <mergeCell ref="E22:F22"/>
    <mergeCell ref="H7:H8"/>
    <mergeCell ref="I7:I8"/>
    <mergeCell ref="A1:I1"/>
    <mergeCell ref="A2:I2"/>
    <mergeCell ref="A3:I3"/>
    <mergeCell ref="A4:I4"/>
    <mergeCell ref="A5:E5"/>
    <mergeCell ref="A7:A8"/>
    <mergeCell ref="B7:B8"/>
    <mergeCell ref="C7:C8"/>
    <mergeCell ref="D7:E7"/>
    <mergeCell ref="F7:G7"/>
  </mergeCells>
  <pageMargins left="0" right="0" top="0.15748031496062992" bottom="0.15748031496062992" header="0.31496062992125984" footer="0.31496062992125984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104"/>
  <sheetViews>
    <sheetView view="pageBreakPreview" topLeftCell="A71" zoomScaleNormal="100" zoomScaleSheetLayoutView="100" workbookViewId="0">
      <selection activeCell="A73" sqref="A73:XFD75"/>
    </sheetView>
  </sheetViews>
  <sheetFormatPr defaultColWidth="9.140625" defaultRowHeight="15" x14ac:dyDescent="0.25"/>
  <cols>
    <col min="1" max="1" width="9.5703125" style="11" customWidth="1"/>
    <col min="2" max="2" width="10.85546875" style="12" customWidth="1"/>
    <col min="3" max="3" width="14.7109375" style="12" customWidth="1"/>
    <col min="4" max="4" width="13" style="12" customWidth="1"/>
    <col min="5" max="5" width="10.85546875" style="12" customWidth="1"/>
    <col min="6" max="6" width="12.140625" style="12" customWidth="1"/>
    <col min="7" max="7" width="13.7109375" style="12" customWidth="1"/>
    <col min="8" max="8" width="12.85546875" style="12" customWidth="1"/>
    <col min="9" max="9" width="10.5703125" style="12" customWidth="1"/>
    <col min="10" max="10" width="7.28515625" style="246" customWidth="1"/>
    <col min="11" max="11" width="11" style="246" customWidth="1"/>
    <col min="12" max="12" width="10" style="246" customWidth="1"/>
    <col min="13" max="13" width="12.28515625" bestFit="1" customWidth="1"/>
    <col min="14" max="14" width="11.42578125" customWidth="1"/>
    <col min="15" max="15" width="10" customWidth="1"/>
    <col min="17" max="17" width="11.7109375" customWidth="1"/>
    <col min="18" max="16384" width="9.140625" style="11"/>
  </cols>
  <sheetData>
    <row r="1" spans="1:17" x14ac:dyDescent="0.25">
      <c r="G1" s="1023" t="s">
        <v>131</v>
      </c>
      <c r="H1" s="1023"/>
    </row>
    <row r="2" spans="1:17" s="46" customFormat="1" ht="48.75" customHeight="1" x14ac:dyDescent="0.3">
      <c r="B2" s="957" t="s">
        <v>479</v>
      </c>
      <c r="C2" s="957"/>
      <c r="D2" s="957"/>
      <c r="E2" s="957"/>
      <c r="F2" s="957"/>
      <c r="G2" s="957"/>
      <c r="H2" s="957"/>
      <c r="I2" s="47"/>
      <c r="J2" s="395"/>
      <c r="K2" s="395"/>
      <c r="L2" s="395"/>
      <c r="M2" s="394"/>
      <c r="N2" s="394"/>
      <c r="O2" s="394"/>
      <c r="P2" s="394"/>
      <c r="Q2" s="394"/>
    </row>
    <row r="3" spans="1:17" ht="20.25" customHeight="1" x14ac:dyDescent="0.3">
      <c r="B3" s="361"/>
      <c r="C3" s="361"/>
      <c r="D3" s="361"/>
      <c r="E3" s="361"/>
      <c r="F3" s="361"/>
      <c r="G3" s="958"/>
      <c r="H3" s="958"/>
      <c r="J3" s="393"/>
      <c r="K3" s="393"/>
      <c r="L3" s="393"/>
      <c r="M3" s="187"/>
      <c r="N3" s="187"/>
      <c r="O3" s="187"/>
      <c r="P3" s="187"/>
      <c r="Q3" s="187"/>
    </row>
    <row r="4" spans="1:17" ht="48.75" customHeight="1" thickBot="1" x14ac:dyDescent="0.3">
      <c r="B4" s="959" t="s">
        <v>350</v>
      </c>
      <c r="C4" s="959"/>
      <c r="D4" s="959"/>
      <c r="E4" s="959"/>
      <c r="F4" s="959"/>
      <c r="G4" s="959"/>
      <c r="H4" s="959"/>
      <c r="J4" s="393"/>
      <c r="K4" s="393"/>
      <c r="L4" s="393"/>
      <c r="M4" s="187"/>
      <c r="N4" s="187"/>
      <c r="O4" s="187"/>
      <c r="P4" s="187"/>
      <c r="Q4" s="187"/>
    </row>
    <row r="5" spans="1:17" ht="34.5" customHeight="1" x14ac:dyDescent="0.2">
      <c r="A5" s="382" t="s">
        <v>349</v>
      </c>
      <c r="B5" s="381" t="s">
        <v>348</v>
      </c>
      <c r="C5" s="374" t="s">
        <v>94</v>
      </c>
      <c r="D5" s="374" t="s">
        <v>93</v>
      </c>
      <c r="E5" s="374" t="s">
        <v>92</v>
      </c>
      <c r="F5" s="374" t="s">
        <v>91</v>
      </c>
      <c r="G5" s="374" t="s">
        <v>90</v>
      </c>
      <c r="H5" s="373" t="s">
        <v>89</v>
      </c>
      <c r="J5" s="393"/>
      <c r="K5" s="187" t="s">
        <v>356</v>
      </c>
      <c r="L5" s="187"/>
      <c r="M5" s="187" t="s">
        <v>355</v>
      </c>
      <c r="N5" s="187"/>
      <c r="O5" s="187"/>
      <c r="P5" s="187"/>
      <c r="Q5" s="187"/>
    </row>
    <row r="6" spans="1:17" ht="22.5" customHeight="1" x14ac:dyDescent="0.35">
      <c r="A6" s="1039" t="s">
        <v>347</v>
      </c>
      <c r="B6" s="378">
        <f>M9</f>
        <v>0</v>
      </c>
      <c r="C6" s="362">
        <f>P9</f>
        <v>0</v>
      </c>
      <c r="D6" s="362">
        <f>Q9</f>
        <v>0</v>
      </c>
      <c r="E6" s="362">
        <v>8</v>
      </c>
      <c r="F6" s="362">
        <v>1</v>
      </c>
      <c r="G6" s="366">
        <f>ROUND(B6*C6*D6*E6*F6,2)</f>
        <v>0</v>
      </c>
      <c r="H6" s="23">
        <f>ROUND(G6*30.2%,2)</f>
        <v>0</v>
      </c>
      <c r="J6" s="393"/>
      <c r="K6" s="1036" t="s">
        <v>354</v>
      </c>
      <c r="L6" s="1036"/>
      <c r="M6" s="1036"/>
      <c r="N6" s="1036"/>
      <c r="O6" s="1036"/>
      <c r="P6" s="187"/>
      <c r="Q6" s="187"/>
    </row>
    <row r="7" spans="1:17" ht="14.25" customHeight="1" x14ac:dyDescent="0.2">
      <c r="A7" s="1040"/>
      <c r="B7" s="378">
        <f>M14</f>
        <v>0</v>
      </c>
      <c r="C7" s="362">
        <f>P14</f>
        <v>0</v>
      </c>
      <c r="D7" s="362">
        <f>Q14</f>
        <v>0</v>
      </c>
      <c r="E7" s="362">
        <v>4</v>
      </c>
      <c r="F7" s="362">
        <v>1</v>
      </c>
      <c r="G7" s="366">
        <f>ROUND(B7*C7*D7*E7*F7,2)</f>
        <v>0</v>
      </c>
      <c r="H7" s="23">
        <f>ROUND(G7*30.2%,2)</f>
        <v>0</v>
      </c>
      <c r="J7" s="33"/>
      <c r="K7" s="34"/>
      <c r="L7" s="33" t="s">
        <v>119</v>
      </c>
      <c r="M7" s="33" t="s">
        <v>118</v>
      </c>
      <c r="N7" s="33" t="s">
        <v>117</v>
      </c>
      <c r="O7" s="33" t="s">
        <v>116</v>
      </c>
      <c r="P7" s="33"/>
      <c r="Q7" s="33"/>
    </row>
    <row r="8" spans="1:17" ht="14.25" customHeight="1" x14ac:dyDescent="0.2">
      <c r="A8" s="1040"/>
      <c r="B8" s="378">
        <f>M19</f>
        <v>0</v>
      </c>
      <c r="C8" s="362">
        <f>P19</f>
        <v>0</v>
      </c>
      <c r="D8" s="362">
        <f>Q19</f>
        <v>0</v>
      </c>
      <c r="E8" s="362"/>
      <c r="F8" s="362">
        <v>1</v>
      </c>
      <c r="G8" s="366">
        <f>ROUND(B8*C8*D8*E8*F8,2)</f>
        <v>0</v>
      </c>
      <c r="H8" s="23">
        <f>ROUND(G8*30.2%,2)</f>
        <v>0</v>
      </c>
      <c r="J8" s="33">
        <v>1</v>
      </c>
      <c r="K8" s="34" t="s">
        <v>106</v>
      </c>
      <c r="L8" s="379"/>
      <c r="M8" s="379"/>
      <c r="N8" s="33">
        <f>L8-O8</f>
        <v>0</v>
      </c>
      <c r="O8" s="379"/>
      <c r="P8" s="33"/>
      <c r="Q8" s="33"/>
    </row>
    <row r="9" spans="1:17" ht="14.25" customHeight="1" x14ac:dyDescent="0.2">
      <c r="A9" s="1040"/>
      <c r="B9" s="378">
        <f>M24</f>
        <v>0</v>
      </c>
      <c r="C9" s="362">
        <f>P24</f>
        <v>0</v>
      </c>
      <c r="D9" s="362">
        <f>Q24</f>
        <v>0</v>
      </c>
      <c r="E9" s="362"/>
      <c r="F9" s="362">
        <v>1</v>
      </c>
      <c r="G9" s="366">
        <f>ROUND(B9*C9*D9*E9*F9,2)</f>
        <v>0</v>
      </c>
      <c r="H9" s="23">
        <f>ROUND(G9*30.2%,2)</f>
        <v>0</v>
      </c>
      <c r="J9" s="33"/>
      <c r="K9" s="33" t="s">
        <v>346</v>
      </c>
      <c r="L9" s="33">
        <f>N9+O9</f>
        <v>0</v>
      </c>
      <c r="M9" s="379"/>
      <c r="N9" s="379">
        <f>N8</f>
        <v>0</v>
      </c>
      <c r="O9" s="379"/>
      <c r="P9" s="33">
        <f>IF(M9=0,0,ROUND(N9/M9,2))</f>
        <v>0</v>
      </c>
      <c r="Q9" s="33">
        <f>IF(N9=0,0,ROUND(O9/N9+1,9))</f>
        <v>0</v>
      </c>
    </row>
    <row r="10" spans="1:17" ht="14.25" customHeight="1" thickBot="1" x14ac:dyDescent="0.25">
      <c r="A10" s="1041"/>
      <c r="B10" s="378">
        <f>M29</f>
        <v>0</v>
      </c>
      <c r="C10" s="362">
        <f>P29</f>
        <v>0</v>
      </c>
      <c r="D10" s="362">
        <f>Q29</f>
        <v>0</v>
      </c>
      <c r="E10" s="362"/>
      <c r="F10" s="362">
        <v>1</v>
      </c>
      <c r="G10" s="366">
        <f>ROUND(B10*C10*D10*E10*F10,2)</f>
        <v>0</v>
      </c>
      <c r="H10" s="23">
        <f>ROUND(G10*30.2%,2)</f>
        <v>0</v>
      </c>
      <c r="J10" s="33"/>
      <c r="K10" s="33" t="s">
        <v>104</v>
      </c>
      <c r="L10" s="33"/>
      <c r="M10" s="33">
        <f>M8-M9</f>
        <v>0</v>
      </c>
      <c r="N10" s="33"/>
      <c r="O10" s="33"/>
      <c r="P10" s="33">
        <f>IF(M10=0,0,ROUND(N10/M10,2))</f>
        <v>0</v>
      </c>
      <c r="Q10" s="33">
        <f>IF(N10=0,0,ROUND(O10/N10+1,9))</f>
        <v>0</v>
      </c>
    </row>
    <row r="11" spans="1:17" ht="14.25" customHeight="1" thickBot="1" x14ac:dyDescent="0.25">
      <c r="A11" s="65"/>
      <c r="B11" s="43"/>
      <c r="C11" s="43"/>
      <c r="D11" s="43"/>
      <c r="E11" s="43"/>
      <c r="F11" s="43"/>
      <c r="G11" s="376">
        <f>SUM(G6:G10)</f>
        <v>0</v>
      </c>
      <c r="H11" s="375">
        <f>SUM(H6:H10)</f>
        <v>0</v>
      </c>
      <c r="J11" s="29"/>
      <c r="K11" s="28"/>
      <c r="L11" s="28"/>
      <c r="M11" s="28"/>
      <c r="N11" s="28"/>
      <c r="O11" s="28"/>
      <c r="P11" s="28"/>
      <c r="Q11" s="28"/>
    </row>
    <row r="12" spans="1:17" ht="12.75" x14ac:dyDescent="0.2">
      <c r="G12" s="35"/>
      <c r="J12" s="33"/>
      <c r="K12" s="34"/>
      <c r="L12" s="33" t="s">
        <v>119</v>
      </c>
      <c r="M12" s="33" t="s">
        <v>118</v>
      </c>
      <c r="N12" s="33" t="s">
        <v>117</v>
      </c>
      <c r="O12" s="33" t="s">
        <v>116</v>
      </c>
      <c r="P12" s="33"/>
      <c r="Q12" s="33"/>
    </row>
    <row r="13" spans="1:17" ht="31.5" customHeight="1" x14ac:dyDescent="0.25">
      <c r="B13" s="960"/>
      <c r="C13" s="960"/>
      <c r="D13" s="960"/>
      <c r="E13" s="960"/>
      <c r="F13" s="960"/>
      <c r="G13" s="960"/>
      <c r="H13" s="960"/>
      <c r="J13" s="33">
        <v>2</v>
      </c>
      <c r="K13" s="34" t="s">
        <v>106</v>
      </c>
      <c r="L13" s="379"/>
      <c r="M13" s="379"/>
      <c r="N13" s="33"/>
      <c r="O13" s="379">
        <f>L13-N13</f>
        <v>0</v>
      </c>
      <c r="P13" s="33"/>
      <c r="Q13" s="33"/>
    </row>
    <row r="14" spans="1:17" ht="12.75" x14ac:dyDescent="0.2">
      <c r="J14" s="33"/>
      <c r="K14" s="33" t="s">
        <v>346</v>
      </c>
      <c r="L14" s="33">
        <f>O14+N14</f>
        <v>0</v>
      </c>
      <c r="M14" s="379"/>
      <c r="N14" s="379">
        <f>N13</f>
        <v>0</v>
      </c>
      <c r="O14" s="379">
        <f>O13</f>
        <v>0</v>
      </c>
      <c r="P14" s="33">
        <f>IF(M14=0,0,ROUND(N14/M14,2))</f>
        <v>0</v>
      </c>
      <c r="Q14" s="33">
        <f>IF(N14=0,0,ROUND(O14/N14+1,9))</f>
        <v>0</v>
      </c>
    </row>
    <row r="15" spans="1:17" s="12" customFormat="1" ht="127.5" x14ac:dyDescent="0.2">
      <c r="A15" s="362" t="s">
        <v>100</v>
      </c>
      <c r="B15" s="362" t="s">
        <v>99</v>
      </c>
      <c r="C15" s="362" t="s">
        <v>92</v>
      </c>
      <c r="D15" s="362" t="s">
        <v>98</v>
      </c>
      <c r="E15" s="43"/>
      <c r="J15" s="33"/>
      <c r="K15" s="33" t="s">
        <v>104</v>
      </c>
      <c r="L15" s="33">
        <f>L13-L14</f>
        <v>0</v>
      </c>
      <c r="M15" s="33">
        <f>M13-M14</f>
        <v>0</v>
      </c>
      <c r="N15" s="33">
        <f>N13-N14</f>
        <v>0</v>
      </c>
      <c r="O15" s="33">
        <f>O13-O14</f>
        <v>0</v>
      </c>
      <c r="P15" s="33">
        <f>IF(M15=0,0,ROUND(N15/M15,2))</f>
        <v>0</v>
      </c>
      <c r="Q15" s="33">
        <f>IF(N15=0,0,ROUND(O15/N15+1,9))</f>
        <v>0</v>
      </c>
    </row>
    <row r="16" spans="1:17" x14ac:dyDescent="0.25">
      <c r="A16" s="362"/>
      <c r="B16" s="362">
        <v>1</v>
      </c>
      <c r="C16" s="362">
        <v>12</v>
      </c>
      <c r="D16" s="362">
        <f>A16*B16*C16</f>
        <v>0</v>
      </c>
      <c r="E16" s="43"/>
    </row>
    <row r="17" spans="1:83" ht="12.75" x14ac:dyDescent="0.2">
      <c r="A17" s="362"/>
      <c r="B17" s="362"/>
      <c r="C17" s="362"/>
      <c r="D17" s="362">
        <f>A17*B17*C17</f>
        <v>0</v>
      </c>
      <c r="E17" s="43"/>
      <c r="J17" s="33"/>
      <c r="K17" s="34"/>
      <c r="L17" s="33" t="s">
        <v>119</v>
      </c>
      <c r="M17" s="33" t="s">
        <v>118</v>
      </c>
      <c r="N17" s="33" t="s">
        <v>117</v>
      </c>
      <c r="O17" s="33" t="s">
        <v>116</v>
      </c>
      <c r="P17" s="33"/>
      <c r="Q17" s="33"/>
    </row>
    <row r="18" spans="1:83" ht="12.75" x14ac:dyDescent="0.2">
      <c r="J18" s="33">
        <v>3</v>
      </c>
      <c r="K18" s="34" t="s">
        <v>106</v>
      </c>
      <c r="L18" s="379"/>
      <c r="M18" s="379"/>
      <c r="N18" s="33">
        <f>L18-O18</f>
        <v>0</v>
      </c>
      <c r="O18" s="379"/>
      <c r="P18" s="33"/>
      <c r="Q18" s="33"/>
    </row>
    <row r="19" spans="1:83" ht="12.75" x14ac:dyDescent="0.2">
      <c r="J19" s="33"/>
      <c r="K19" s="33" t="s">
        <v>346</v>
      </c>
      <c r="L19" s="33">
        <f>O19+N19</f>
        <v>0</v>
      </c>
      <c r="M19" s="379"/>
      <c r="N19" s="379"/>
      <c r="O19" s="379"/>
      <c r="P19" s="33">
        <f>IF(M19=0,0,ROUND(N19/M19,2))</f>
        <v>0</v>
      </c>
      <c r="Q19" s="33">
        <f>IF(N19=0,0,ROUND(O19/N19+1,9))</f>
        <v>0</v>
      </c>
    </row>
    <row r="20" spans="1:83" ht="12.75" x14ac:dyDescent="0.2">
      <c r="J20" s="33"/>
      <c r="K20" s="33" t="s">
        <v>104</v>
      </c>
      <c r="L20" s="33">
        <f>L18-L19</f>
        <v>0</v>
      </c>
      <c r="M20" s="33">
        <f>M18-M19</f>
        <v>0</v>
      </c>
      <c r="N20" s="33">
        <f>N18-N19</f>
        <v>0</v>
      </c>
      <c r="O20" s="33">
        <f>O18-O19</f>
        <v>0</v>
      </c>
      <c r="P20" s="33">
        <f>IF(M20=0,0,ROUND(N20/M20,2))</f>
        <v>0</v>
      </c>
      <c r="Q20" s="33">
        <f>IF(N20=0,0,ROUND(O20/N20+1,9))</f>
        <v>0</v>
      </c>
    </row>
    <row r="21" spans="1:83" ht="15" customHeight="1" x14ac:dyDescent="0.25">
      <c r="A21" s="960" t="s">
        <v>353</v>
      </c>
      <c r="B21" s="960"/>
      <c r="C21" s="960"/>
      <c r="D21" s="960"/>
      <c r="E21" s="960"/>
      <c r="F21" s="960"/>
      <c r="G21" s="960"/>
      <c r="H21" s="960"/>
      <c r="I21" s="13"/>
      <c r="K21" s="392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</row>
    <row r="22" spans="1:83" ht="15" customHeight="1" x14ac:dyDescent="0.2">
      <c r="A22" s="960"/>
      <c r="B22" s="960"/>
      <c r="C22" s="960"/>
      <c r="D22" s="960"/>
      <c r="E22" s="960"/>
      <c r="F22" s="960"/>
      <c r="G22" s="960"/>
      <c r="H22" s="960"/>
      <c r="I22" s="391"/>
      <c r="J22" s="33"/>
      <c r="K22" s="34"/>
      <c r="L22" s="33" t="s">
        <v>119</v>
      </c>
      <c r="M22" s="33" t="s">
        <v>118</v>
      </c>
      <c r="N22" s="33" t="s">
        <v>117</v>
      </c>
      <c r="O22" s="33" t="s">
        <v>116</v>
      </c>
      <c r="P22" s="33"/>
      <c r="Q22" s="3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</row>
    <row r="23" spans="1:83" ht="16.5" customHeight="1" thickBot="1" x14ac:dyDescent="0.25">
      <c r="A23" s="960"/>
      <c r="B23" s="960"/>
      <c r="C23" s="960"/>
      <c r="D23" s="960"/>
      <c r="E23" s="960"/>
      <c r="F23" s="960"/>
      <c r="G23" s="960"/>
      <c r="H23" s="960"/>
      <c r="I23" s="13"/>
      <c r="J23" s="33">
        <v>4</v>
      </c>
      <c r="K23" s="34" t="s">
        <v>106</v>
      </c>
      <c r="L23" s="379"/>
      <c r="M23" s="379"/>
      <c r="N23" s="33">
        <f>L23-O23</f>
        <v>0</v>
      </c>
      <c r="O23" s="379"/>
      <c r="P23" s="33"/>
      <c r="Q23" s="3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</row>
    <row r="24" spans="1:83" ht="12.75" x14ac:dyDescent="0.2">
      <c r="A24" s="297" t="s">
        <v>110</v>
      </c>
      <c r="B24" s="974" t="s">
        <v>125</v>
      </c>
      <c r="C24" s="1029"/>
      <c r="D24" s="1030" t="s">
        <v>107</v>
      </c>
      <c r="E24" s="1031"/>
      <c r="H24" s="13"/>
      <c r="I24" s="13"/>
      <c r="J24" s="33"/>
      <c r="K24" s="33" t="s">
        <v>346</v>
      </c>
      <c r="L24" s="33">
        <f>O24+N24</f>
        <v>0</v>
      </c>
      <c r="M24" s="379"/>
      <c r="N24" s="379"/>
      <c r="O24" s="379"/>
      <c r="P24" s="33">
        <f>IF(M24=0,0,ROUND(N24/M24,2))</f>
        <v>0</v>
      </c>
      <c r="Q24" s="33">
        <f>IF(N24=0,0,ROUND(O24/N24+1,9))</f>
        <v>0</v>
      </c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</row>
    <row r="25" spans="1:83" ht="12.75" x14ac:dyDescent="0.2">
      <c r="A25" s="298">
        <v>226</v>
      </c>
      <c r="B25" s="1024">
        <f>IF(D25=0,0,ROUND((D25/[2]проверка!D4),2))</f>
        <v>0</v>
      </c>
      <c r="C25" s="979"/>
      <c r="D25" s="1025"/>
      <c r="E25" s="1026"/>
      <c r="H25" s="13"/>
      <c r="I25" s="13"/>
      <c r="J25" s="33"/>
      <c r="K25" s="33" t="s">
        <v>104</v>
      </c>
      <c r="L25" s="33">
        <f>L23-L24</f>
        <v>0</v>
      </c>
      <c r="M25" s="33">
        <f>M23-M24</f>
        <v>0</v>
      </c>
      <c r="N25" s="33">
        <f>N23-N24</f>
        <v>0</v>
      </c>
      <c r="O25" s="33">
        <f>O23-O24</f>
        <v>0</v>
      </c>
      <c r="P25" s="33">
        <f>IF(M25=0,0,ROUND(N25/M25,2))</f>
        <v>0</v>
      </c>
      <c r="Q25" s="33">
        <f>IF(N25=0,0,ROUND(O25/N25+1,9))</f>
        <v>0</v>
      </c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</row>
    <row r="26" spans="1:83" ht="15.75" thickBot="1" x14ac:dyDescent="0.3">
      <c r="A26" s="299">
        <v>340</v>
      </c>
      <c r="B26" s="1027">
        <f>IF(D26=0,0,ROUND(D26/[2]проверка!D4,2))</f>
        <v>0</v>
      </c>
      <c r="C26" s="1028"/>
      <c r="D26" s="1032"/>
      <c r="E26" s="1033"/>
    </row>
    <row r="27" spans="1:83" ht="12.75" x14ac:dyDescent="0.2">
      <c r="I27" s="390"/>
      <c r="J27" s="33"/>
      <c r="K27" s="34"/>
      <c r="L27" s="33" t="s">
        <v>119</v>
      </c>
      <c r="M27" s="33" t="s">
        <v>118</v>
      </c>
      <c r="N27" s="33" t="s">
        <v>117</v>
      </c>
      <c r="O27" s="33" t="s">
        <v>116</v>
      </c>
      <c r="P27" s="33"/>
      <c r="Q27" s="33"/>
    </row>
    <row r="28" spans="1:83" ht="12.75" x14ac:dyDescent="0.2">
      <c r="J28" s="33">
        <v>5</v>
      </c>
      <c r="K28" s="34" t="s">
        <v>106</v>
      </c>
      <c r="L28" s="379"/>
      <c r="M28" s="379"/>
      <c r="N28" s="33">
        <f>L28-O28</f>
        <v>0</v>
      </c>
      <c r="O28" s="379"/>
      <c r="P28" s="33"/>
      <c r="Q28" s="33"/>
    </row>
    <row r="29" spans="1:83" ht="12.75" x14ac:dyDescent="0.2">
      <c r="J29" s="33"/>
      <c r="K29" s="33" t="s">
        <v>346</v>
      </c>
      <c r="L29" s="33"/>
      <c r="M29" s="379"/>
      <c r="N29" s="379"/>
      <c r="O29" s="379"/>
      <c r="P29" s="33">
        <f>IF(M29=0,0,ROUND(N29/M29,2))</f>
        <v>0</v>
      </c>
      <c r="Q29" s="33">
        <f>IF(N29=0,0,ROUND(O29/N29+1,9))</f>
        <v>0</v>
      </c>
    </row>
    <row r="30" spans="1:83" ht="12.75" x14ac:dyDescent="0.2">
      <c r="J30" s="33"/>
      <c r="K30" s="33" t="s">
        <v>104</v>
      </c>
      <c r="L30" s="33">
        <f>L28-L29</f>
        <v>0</v>
      </c>
      <c r="M30" s="33">
        <f>M28-M29</f>
        <v>0</v>
      </c>
      <c r="N30" s="33">
        <f>N28-N29</f>
        <v>0</v>
      </c>
      <c r="O30" s="33">
        <f>O28-O29</f>
        <v>0</v>
      </c>
      <c r="P30" s="33">
        <f>IF(M30=0,0,ROUND(N30/M30,2))</f>
        <v>0</v>
      </c>
      <c r="Q30" s="33">
        <f>IF(N30=0,0,ROUND(O30/N30+1,9))</f>
        <v>0</v>
      </c>
    </row>
    <row r="32" spans="1:83" x14ac:dyDescent="0.25">
      <c r="I32" s="390"/>
    </row>
    <row r="34" spans="1:17" x14ac:dyDescent="0.25">
      <c r="A34" s="15" t="s">
        <v>544</v>
      </c>
      <c r="B34" s="70"/>
      <c r="C34" s="211"/>
      <c r="D34" s="941"/>
      <c r="E34" s="942"/>
    </row>
    <row r="35" spans="1:17" x14ac:dyDescent="0.25">
      <c r="A35" s="67"/>
      <c r="B35" s="67"/>
      <c r="C35" s="67"/>
      <c r="D35" s="67"/>
      <c r="E35" s="14"/>
    </row>
    <row r="36" spans="1:17" x14ac:dyDescent="0.25">
      <c r="A36" s="11" t="s">
        <v>545</v>
      </c>
      <c r="B36" s="67"/>
      <c r="C36" s="212"/>
      <c r="D36" s="941"/>
      <c r="E36" s="942"/>
    </row>
    <row r="37" spans="1:17" x14ac:dyDescent="0.25">
      <c r="B37" s="11"/>
      <c r="C37" s="11"/>
      <c r="D37" s="11"/>
      <c r="E37" s="11"/>
    </row>
    <row r="38" spans="1:17" x14ac:dyDescent="0.25">
      <c r="B38" s="11"/>
      <c r="C38" s="65"/>
      <c r="D38" s="65"/>
      <c r="E38" s="65"/>
    </row>
    <row r="39" spans="1:17" x14ac:dyDescent="0.25">
      <c r="B39" s="11"/>
      <c r="C39" s="370"/>
      <c r="D39" s="370"/>
      <c r="E39" s="369"/>
    </row>
    <row r="40" spans="1:17" x14ac:dyDescent="0.25">
      <c r="A40" s="12"/>
      <c r="F40" s="1023" t="s">
        <v>103</v>
      </c>
      <c r="G40" s="1023"/>
      <c r="I40"/>
      <c r="J40"/>
      <c r="K40"/>
      <c r="L40"/>
      <c r="M40" s="11"/>
      <c r="N40" s="11"/>
      <c r="O40" s="11"/>
      <c r="P40" s="11"/>
      <c r="Q40" s="11"/>
    </row>
    <row r="41" spans="1:17" ht="18.75" customHeight="1" x14ac:dyDescent="0.3">
      <c r="A41" s="957" t="s">
        <v>102</v>
      </c>
      <c r="B41" s="957"/>
      <c r="C41" s="957"/>
      <c r="D41" s="957"/>
      <c r="E41" s="957"/>
      <c r="F41" s="957"/>
      <c r="G41" s="957"/>
      <c r="I41"/>
      <c r="J41"/>
      <c r="K41"/>
      <c r="L41"/>
      <c r="M41" s="11"/>
      <c r="N41" s="11"/>
      <c r="O41" s="11"/>
      <c r="P41" s="11"/>
      <c r="Q41" s="11"/>
    </row>
    <row r="42" spans="1:17" ht="20.25" customHeight="1" x14ac:dyDescent="0.3">
      <c r="A42" s="361"/>
      <c r="B42" s="361"/>
      <c r="C42" s="361"/>
      <c r="D42" s="361"/>
      <c r="E42" s="361"/>
      <c r="F42" s="361"/>
      <c r="G42" s="361"/>
      <c r="I42"/>
      <c r="J42"/>
      <c r="K42"/>
      <c r="L42"/>
      <c r="M42" s="11"/>
      <c r="N42" s="11"/>
      <c r="O42" s="11"/>
      <c r="P42" s="11"/>
      <c r="Q42" s="11"/>
    </row>
    <row r="43" spans="1:17" ht="16.5" customHeight="1" thickBot="1" x14ac:dyDescent="0.3">
      <c r="A43" s="943" t="s">
        <v>345</v>
      </c>
      <c r="B43" s="943"/>
      <c r="C43" s="943"/>
      <c r="D43" s="943"/>
      <c r="E43" s="943"/>
      <c r="F43" s="943"/>
      <c r="G43" s="943"/>
      <c r="I43"/>
      <c r="J43"/>
      <c r="K43"/>
      <c r="L43"/>
      <c r="M43" s="11"/>
      <c r="N43" s="11"/>
      <c r="O43" s="11"/>
      <c r="P43" s="11"/>
      <c r="Q43" s="11"/>
    </row>
    <row r="44" spans="1:17" ht="39" x14ac:dyDescent="0.25">
      <c r="A44" s="25" t="s">
        <v>95</v>
      </c>
      <c r="B44" s="374" t="s">
        <v>94</v>
      </c>
      <c r="C44" s="374" t="s">
        <v>93</v>
      </c>
      <c r="D44" s="374" t="s">
        <v>92</v>
      </c>
      <c r="E44" s="374" t="s">
        <v>91</v>
      </c>
      <c r="F44" s="374" t="s">
        <v>90</v>
      </c>
      <c r="G44" s="373" t="s">
        <v>89</v>
      </c>
      <c r="I44"/>
      <c r="J44"/>
      <c r="K44"/>
      <c r="L44"/>
      <c r="M44" s="11"/>
      <c r="N44" s="11"/>
      <c r="O44" s="11"/>
      <c r="P44" s="11"/>
      <c r="Q44" s="11"/>
    </row>
    <row r="45" spans="1:17" x14ac:dyDescent="0.25">
      <c r="A45" s="22">
        <f>M10</f>
        <v>0</v>
      </c>
      <c r="B45" s="362">
        <f>P10</f>
        <v>0</v>
      </c>
      <c r="C45" s="362">
        <f>Q10</f>
        <v>0</v>
      </c>
      <c r="D45" s="362">
        <v>12</v>
      </c>
      <c r="E45" s="362">
        <v>1</v>
      </c>
      <c r="F45" s="362">
        <f>ROUND(A45*B45*C45*D45*E45,2)</f>
        <v>0</v>
      </c>
      <c r="G45" s="363">
        <f>ROUND(F45*30.2%,2)</f>
        <v>0</v>
      </c>
      <c r="I45"/>
      <c r="J45"/>
      <c r="K45"/>
      <c r="L45"/>
      <c r="M45" s="11"/>
      <c r="N45" s="11"/>
      <c r="O45" s="11"/>
      <c r="P45" s="11"/>
      <c r="Q45" s="11"/>
    </row>
    <row r="46" spans="1:17" x14ac:dyDescent="0.25">
      <c r="A46" s="22">
        <f>M15</f>
        <v>0</v>
      </c>
      <c r="B46" s="389">
        <f>P15</f>
        <v>0</v>
      </c>
      <c r="C46" s="362">
        <f>Q15</f>
        <v>0</v>
      </c>
      <c r="D46" s="362"/>
      <c r="E46" s="362">
        <v>1</v>
      </c>
      <c r="F46" s="362">
        <f>ROUND(A46*B46*C46*D46*E46,2)</f>
        <v>0</v>
      </c>
      <c r="G46" s="363">
        <f>ROUND(F46*30.2%,2)</f>
        <v>0</v>
      </c>
      <c r="I46"/>
      <c r="J46"/>
      <c r="K46"/>
      <c r="L46"/>
      <c r="M46" s="11"/>
      <c r="N46" s="11"/>
      <c r="O46" s="11"/>
      <c r="P46" s="11"/>
      <c r="Q46" s="11"/>
    </row>
    <row r="47" spans="1:17" hidden="1" x14ac:dyDescent="0.25">
      <c r="A47" s="22">
        <f>M20</f>
        <v>0</v>
      </c>
      <c r="B47" s="362">
        <f>P20</f>
        <v>0</v>
      </c>
      <c r="C47" s="362">
        <f>Q20</f>
        <v>0</v>
      </c>
      <c r="D47" s="362"/>
      <c r="E47" s="362">
        <v>1</v>
      </c>
      <c r="F47" s="362">
        <f>ROUND(A47*B47*C47*D47*E47,2)</f>
        <v>0</v>
      </c>
      <c r="G47" s="363">
        <f>ROUND(F47*30.2%,2)</f>
        <v>0</v>
      </c>
      <c r="I47"/>
      <c r="J47"/>
      <c r="K47"/>
      <c r="L47"/>
      <c r="M47" s="11"/>
      <c r="N47" s="11"/>
      <c r="O47" s="11"/>
      <c r="P47" s="11"/>
      <c r="Q47" s="11"/>
    </row>
    <row r="48" spans="1:17" hidden="1" x14ac:dyDescent="0.25">
      <c r="A48" s="22">
        <f>M25</f>
        <v>0</v>
      </c>
      <c r="B48" s="362">
        <f>P25</f>
        <v>0</v>
      </c>
      <c r="C48" s="362">
        <f>Q25</f>
        <v>0</v>
      </c>
      <c r="D48" s="362"/>
      <c r="E48" s="362">
        <v>1</v>
      </c>
      <c r="F48" s="362">
        <f>ROUND(A48*B48*C48*D48*E48,2)</f>
        <v>0</v>
      </c>
      <c r="G48" s="363">
        <f>ROUND(F48*30.2%,2)</f>
        <v>0</v>
      </c>
      <c r="I48"/>
      <c r="J48"/>
      <c r="K48"/>
      <c r="L48"/>
      <c r="M48" s="11"/>
      <c r="N48" s="11"/>
      <c r="O48" s="11"/>
      <c r="P48" s="11"/>
      <c r="Q48" s="11"/>
    </row>
    <row r="49" spans="1:17" ht="15.75" hidden="1" thickBot="1" x14ac:dyDescent="0.3">
      <c r="A49" s="20">
        <f>M30</f>
        <v>0</v>
      </c>
      <c r="B49" s="364">
        <f>P30</f>
        <v>0</v>
      </c>
      <c r="C49" s="364">
        <f>Q30</f>
        <v>0</v>
      </c>
      <c r="D49" s="364"/>
      <c r="E49" s="364">
        <v>1</v>
      </c>
      <c r="F49" s="364">
        <f>ROUND(A49*B49*C49*D49*E49,2)</f>
        <v>0</v>
      </c>
      <c r="G49" s="365">
        <f>ROUND(F49*30.2%,2)</f>
        <v>0</v>
      </c>
      <c r="I49"/>
      <c r="J49"/>
      <c r="K49"/>
      <c r="L49"/>
      <c r="M49" s="11"/>
      <c r="N49" s="11"/>
      <c r="O49" s="11"/>
      <c r="P49" s="11"/>
      <c r="Q49" s="11"/>
    </row>
    <row r="50" spans="1:17" ht="15.75" thickBot="1" x14ac:dyDescent="0.3">
      <c r="A50" s="43"/>
      <c r="B50" s="42"/>
      <c r="C50" s="43"/>
      <c r="D50" s="43"/>
      <c r="E50" s="43"/>
      <c r="F50" s="287">
        <f>SUM(F45:F49)</f>
        <v>0</v>
      </c>
      <c r="G50" s="372">
        <f>SUM(G45:G49)</f>
        <v>0</v>
      </c>
    </row>
    <row r="51" spans="1:17" x14ac:dyDescent="0.25">
      <c r="A51" s="43"/>
      <c r="B51" s="42"/>
      <c r="C51" s="43"/>
      <c r="D51" s="43"/>
      <c r="E51" s="43"/>
      <c r="F51" s="43"/>
      <c r="G51" s="43"/>
    </row>
    <row r="52" spans="1:17" x14ac:dyDescent="0.25">
      <c r="A52" s="43"/>
      <c r="B52" s="42"/>
      <c r="C52" s="43"/>
      <c r="D52" s="43"/>
      <c r="E52" s="43"/>
      <c r="F52" s="43"/>
      <c r="G52" s="43"/>
    </row>
    <row r="53" spans="1:17" x14ac:dyDescent="0.25">
      <c r="A53" s="43"/>
      <c r="B53" s="42"/>
      <c r="C53" s="43"/>
      <c r="D53" s="43"/>
      <c r="E53" s="43"/>
      <c r="F53" s="43"/>
      <c r="G53" s="43"/>
    </row>
    <row r="54" spans="1:17" x14ac:dyDescent="0.25">
      <c r="A54" s="12"/>
    </row>
    <row r="55" spans="1:17" ht="15" customHeight="1" x14ac:dyDescent="0.25">
      <c r="A55" s="960" t="s">
        <v>353</v>
      </c>
      <c r="B55" s="960"/>
      <c r="C55" s="960"/>
      <c r="D55" s="960"/>
      <c r="E55" s="960"/>
      <c r="F55" s="960"/>
      <c r="G55" s="960"/>
      <c r="H55" s="960"/>
    </row>
    <row r="56" spans="1:17" ht="15" customHeight="1" x14ac:dyDescent="0.25">
      <c r="A56" s="960"/>
      <c r="B56" s="960"/>
      <c r="C56" s="960"/>
      <c r="D56" s="960"/>
      <c r="E56" s="960"/>
      <c r="F56" s="960"/>
      <c r="G56" s="960"/>
      <c r="H56" s="960"/>
    </row>
    <row r="57" spans="1:17" ht="15.75" customHeight="1" thickBot="1" x14ac:dyDescent="0.3">
      <c r="A57" s="960"/>
      <c r="B57" s="960"/>
      <c r="C57" s="960"/>
      <c r="D57" s="960"/>
      <c r="E57" s="960"/>
      <c r="F57" s="960"/>
      <c r="G57" s="960"/>
      <c r="H57" s="960"/>
    </row>
    <row r="58" spans="1:17" x14ac:dyDescent="0.25">
      <c r="A58" s="297" t="s">
        <v>110</v>
      </c>
      <c r="B58" s="974" t="s">
        <v>125</v>
      </c>
      <c r="C58" s="1029"/>
      <c r="D58" s="1030" t="s">
        <v>107</v>
      </c>
      <c r="E58" s="1031"/>
      <c r="H58" s="13"/>
    </row>
    <row r="59" spans="1:17" x14ac:dyDescent="0.25">
      <c r="A59" s="298">
        <v>226</v>
      </c>
      <c r="B59" s="1024">
        <f>IF(D59=0,0,ROUND((D59/[2]проверка!D4),2))</f>
        <v>0</v>
      </c>
      <c r="C59" s="979"/>
      <c r="D59" s="980">
        <f>[2]проверка!B16-'прил.1+2 фок'!D25</f>
        <v>0</v>
      </c>
      <c r="E59" s="1037"/>
      <c r="H59" s="13"/>
    </row>
    <row r="60" spans="1:17" ht="15.75" thickBot="1" x14ac:dyDescent="0.3">
      <c r="A60" s="299">
        <v>340</v>
      </c>
      <c r="B60" s="1027">
        <f>IF(D60=0,0,ROUND(D60/[2]проверка!D4,2))</f>
        <v>0</v>
      </c>
      <c r="C60" s="1028"/>
      <c r="D60" s="1034">
        <f>[2]проверка!B17-'прил.1+2 фок'!D26</f>
        <v>0</v>
      </c>
      <c r="E60" s="1035"/>
    </row>
    <row r="61" spans="1:17" x14ac:dyDescent="0.25">
      <c r="A61" s="387"/>
      <c r="B61" s="388"/>
      <c r="C61" s="388"/>
      <c r="D61" s="42"/>
      <c r="E61" s="42"/>
    </row>
    <row r="62" spans="1:17" x14ac:dyDescent="0.25">
      <c r="A62" s="387"/>
      <c r="B62" s="388"/>
      <c r="C62" s="388"/>
      <c r="D62" s="42"/>
      <c r="E62" s="42"/>
    </row>
    <row r="63" spans="1:17" x14ac:dyDescent="0.25">
      <c r="A63" s="387"/>
      <c r="B63" s="388"/>
      <c r="C63" s="388"/>
      <c r="D63" s="42"/>
      <c r="E63" s="42"/>
    </row>
    <row r="64" spans="1:17" x14ac:dyDescent="0.25">
      <c r="A64" s="387"/>
      <c r="B64" s="388"/>
      <c r="C64" s="388"/>
      <c r="D64" s="42"/>
      <c r="E64" s="42"/>
    </row>
    <row r="65" spans="1:17" x14ac:dyDescent="0.25">
      <c r="A65" s="387"/>
      <c r="B65" s="388"/>
      <c r="C65" s="388"/>
      <c r="D65" s="42"/>
      <c r="E65" s="42"/>
    </row>
    <row r="66" spans="1:17" x14ac:dyDescent="0.25">
      <c r="A66" s="387"/>
      <c r="B66" s="386"/>
      <c r="C66" s="386"/>
      <c r="D66" s="385"/>
      <c r="E66" s="385"/>
    </row>
    <row r="67" spans="1:17" ht="128.25" x14ac:dyDescent="0.25">
      <c r="A67" s="362" t="s">
        <v>100</v>
      </c>
      <c r="B67" s="362" t="s">
        <v>99</v>
      </c>
      <c r="C67" s="362" t="s">
        <v>92</v>
      </c>
      <c r="D67" s="362" t="s">
        <v>98</v>
      </c>
      <c r="G67" s="12" t="s">
        <v>97</v>
      </c>
    </row>
    <row r="68" spans="1:17" x14ac:dyDescent="0.25">
      <c r="A68" s="384">
        <v>50</v>
      </c>
      <c r="B68" s="383"/>
      <c r="C68" s="383">
        <v>12</v>
      </c>
      <c r="D68" s="363">
        <f>A68*B68*C68</f>
        <v>0</v>
      </c>
    </row>
    <row r="69" spans="1:17" ht="15.75" thickBot="1" x14ac:dyDescent="0.3">
      <c r="A69" s="20"/>
      <c r="B69" s="364"/>
      <c r="C69" s="364"/>
      <c r="D69" s="372">
        <f>A69*B69*C69</f>
        <v>0</v>
      </c>
    </row>
    <row r="70" spans="1:17" x14ac:dyDescent="0.25">
      <c r="A70" s="12"/>
    </row>
    <row r="71" spans="1:17" x14ac:dyDescent="0.25">
      <c r="A71" s="12"/>
    </row>
    <row r="72" spans="1:17" x14ac:dyDescent="0.25">
      <c r="A72" s="12"/>
    </row>
    <row r="73" spans="1:17" x14ac:dyDescent="0.25">
      <c r="A73" s="15" t="s">
        <v>544</v>
      </c>
      <c r="B73" s="70"/>
      <c r="C73" s="211"/>
      <c r="D73" s="941"/>
      <c r="E73" s="942"/>
    </row>
    <row r="74" spans="1:17" x14ac:dyDescent="0.25">
      <c r="A74" s="67"/>
      <c r="B74" s="67"/>
      <c r="C74" s="67"/>
      <c r="D74" s="67"/>
      <c r="E74" s="14"/>
    </row>
    <row r="75" spans="1:17" x14ac:dyDescent="0.25">
      <c r="A75" s="11" t="s">
        <v>545</v>
      </c>
      <c r="B75" s="67"/>
      <c r="C75" s="212"/>
      <c r="D75" s="941"/>
      <c r="E75" s="942"/>
    </row>
    <row r="76" spans="1:17" x14ac:dyDescent="0.25">
      <c r="B76" s="370"/>
      <c r="C76" s="370"/>
      <c r="D76" s="369"/>
      <c r="E76" s="11"/>
      <c r="F76" s="11"/>
      <c r="G76" s="13"/>
    </row>
    <row r="77" spans="1:17" ht="30" x14ac:dyDescent="0.4">
      <c r="G77" s="1023" t="s">
        <v>131</v>
      </c>
      <c r="H77" s="1023"/>
      <c r="K77" s="1038" t="s">
        <v>352</v>
      </c>
      <c r="L77" s="1038"/>
      <c r="M77" s="1038"/>
      <c r="N77" s="1038"/>
      <c r="O77" s="1038"/>
      <c r="P77" s="1038"/>
    </row>
    <row r="78" spans="1:17" ht="18.75" customHeight="1" x14ac:dyDescent="0.3">
      <c r="A78" s="46"/>
      <c r="B78" s="957" t="s">
        <v>351</v>
      </c>
      <c r="C78" s="957"/>
      <c r="D78" s="957"/>
      <c r="E78" s="957"/>
      <c r="F78" s="957"/>
      <c r="G78" s="957"/>
      <c r="H78" s="957"/>
      <c r="J78" s="33"/>
      <c r="K78" s="34"/>
      <c r="L78" s="33" t="s">
        <v>119</v>
      </c>
      <c r="M78" s="33" t="s">
        <v>118</v>
      </c>
      <c r="N78" s="33" t="s">
        <v>117</v>
      </c>
      <c r="O78" s="33" t="s">
        <v>116</v>
      </c>
      <c r="P78" s="33"/>
      <c r="Q78" s="33"/>
    </row>
    <row r="79" spans="1:17" ht="20.25" x14ac:dyDescent="0.3">
      <c r="B79" s="361"/>
      <c r="C79" s="361"/>
      <c r="D79" s="361"/>
      <c r="E79" s="361"/>
      <c r="F79" s="361"/>
      <c r="G79" s="958"/>
      <c r="H79" s="958"/>
      <c r="J79" s="33">
        <v>1</v>
      </c>
      <c r="K79" s="34" t="s">
        <v>106</v>
      </c>
      <c r="L79" s="379"/>
      <c r="M79" s="379"/>
      <c r="N79" s="33">
        <f>L79-O79</f>
        <v>0</v>
      </c>
      <c r="O79" s="379"/>
      <c r="P79" s="33"/>
      <c r="Q79" s="33"/>
    </row>
    <row r="80" spans="1:17" ht="16.5" customHeight="1" thickBot="1" x14ac:dyDescent="0.3">
      <c r="B80" s="943" t="s">
        <v>350</v>
      </c>
      <c r="C80" s="943"/>
      <c r="D80" s="943"/>
      <c r="E80" s="943"/>
      <c r="F80" s="943"/>
      <c r="G80" s="943"/>
      <c r="H80" s="943"/>
      <c r="J80" s="33"/>
      <c r="K80" s="33" t="s">
        <v>346</v>
      </c>
      <c r="L80" s="380"/>
      <c r="M80" s="380">
        <f>M79</f>
        <v>0</v>
      </c>
      <c r="N80" s="379"/>
      <c r="O80" s="379"/>
      <c r="P80" s="33">
        <f>IF(M80=0,0,ROUND(N80/M80,2))</f>
        <v>0</v>
      </c>
      <c r="Q80" s="33">
        <f>IF(N80=0,0,ROUND(O80/N80+1,9))</f>
        <v>0</v>
      </c>
    </row>
    <row r="81" spans="1:17" ht="38.25" x14ac:dyDescent="0.2">
      <c r="A81" s="382" t="s">
        <v>349</v>
      </c>
      <c r="B81" s="381" t="s">
        <v>348</v>
      </c>
      <c r="C81" s="374" t="s">
        <v>94</v>
      </c>
      <c r="D81" s="374" t="s">
        <v>93</v>
      </c>
      <c r="E81" s="374" t="s">
        <v>92</v>
      </c>
      <c r="F81" s="374" t="s">
        <v>91</v>
      </c>
      <c r="G81" s="374" t="s">
        <v>90</v>
      </c>
      <c r="H81" s="373" t="s">
        <v>89</v>
      </c>
      <c r="J81" s="33"/>
      <c r="K81" s="33" t="s">
        <v>104</v>
      </c>
      <c r="L81" s="377">
        <f>L79</f>
        <v>0</v>
      </c>
      <c r="M81" s="33"/>
      <c r="N81" s="33">
        <f>N79</f>
        <v>0</v>
      </c>
      <c r="O81" s="33">
        <f>O79-O80</f>
        <v>0</v>
      </c>
      <c r="P81" s="33">
        <f>L81-O81</f>
        <v>0</v>
      </c>
      <c r="Q81" s="33">
        <f>IF(N81=0,0,ROUND(O81/N81+1,9))</f>
        <v>0</v>
      </c>
    </row>
    <row r="82" spans="1:17" ht="12.75" x14ac:dyDescent="0.2">
      <c r="A82" s="1039" t="s">
        <v>347</v>
      </c>
      <c r="B82" s="378">
        <f>M80</f>
        <v>0</v>
      </c>
      <c r="C82" s="362">
        <f>P80</f>
        <v>0</v>
      </c>
      <c r="D82" s="362">
        <f>Q80</f>
        <v>0</v>
      </c>
      <c r="E82" s="362">
        <v>12</v>
      </c>
      <c r="F82" s="362">
        <v>1</v>
      </c>
      <c r="G82" s="366">
        <f>ROUND(B82*C82*D82*E82*F82,2)</f>
        <v>0</v>
      </c>
      <c r="H82" s="23">
        <f>ROUND(G82*30.2%,2)</f>
        <v>0</v>
      </c>
      <c r="J82" s="29"/>
      <c r="K82" s="28"/>
      <c r="L82" s="28"/>
      <c r="M82" s="28"/>
      <c r="N82" s="28"/>
      <c r="O82" s="28"/>
      <c r="P82" s="28"/>
      <c r="Q82" s="28"/>
    </row>
    <row r="83" spans="1:17" ht="12.75" x14ac:dyDescent="0.2">
      <c r="A83" s="1040"/>
      <c r="B83" s="378">
        <f>M85</f>
        <v>0</v>
      </c>
      <c r="C83" s="362">
        <f>P85</f>
        <v>0</v>
      </c>
      <c r="D83" s="362">
        <f>Q85</f>
        <v>0</v>
      </c>
      <c r="E83" s="362"/>
      <c r="F83" s="362">
        <v>1</v>
      </c>
      <c r="G83" s="366">
        <f>ROUND(B83*C83*D83*E83*F83,2)</f>
        <v>0</v>
      </c>
      <c r="H83" s="23">
        <f>ROUND(G83*30.2%,2)</f>
        <v>0</v>
      </c>
      <c r="J83" s="33"/>
      <c r="K83" s="34"/>
      <c r="L83" s="33" t="s">
        <v>119</v>
      </c>
      <c r="M83" s="33" t="s">
        <v>118</v>
      </c>
      <c r="N83" s="33" t="s">
        <v>117</v>
      </c>
      <c r="O83" s="33" t="s">
        <v>116</v>
      </c>
      <c r="P83" s="33"/>
      <c r="Q83" s="33"/>
    </row>
    <row r="84" spans="1:17" ht="12.75" x14ac:dyDescent="0.2">
      <c r="A84" s="1040"/>
      <c r="B84" s="378"/>
      <c r="C84" s="362"/>
      <c r="D84" s="362"/>
      <c r="E84" s="362"/>
      <c r="F84" s="362"/>
      <c r="G84" s="366">
        <f>ROUND(B84*C84*D84*E84*F84,2)</f>
        <v>0</v>
      </c>
      <c r="H84" s="23">
        <f>ROUND(G84*30.2%,2)</f>
        <v>0</v>
      </c>
      <c r="J84" s="33">
        <v>2</v>
      </c>
      <c r="K84" s="34" t="s">
        <v>106</v>
      </c>
      <c r="L84" s="379"/>
      <c r="M84" s="379"/>
      <c r="N84" s="33">
        <f>L84-O84</f>
        <v>0</v>
      </c>
      <c r="O84" s="379"/>
      <c r="P84" s="33"/>
      <c r="Q84" s="33"/>
    </row>
    <row r="85" spans="1:17" ht="12.75" x14ac:dyDescent="0.2">
      <c r="A85" s="1040"/>
      <c r="B85" s="378"/>
      <c r="C85" s="362"/>
      <c r="D85" s="362"/>
      <c r="E85" s="362"/>
      <c r="F85" s="362"/>
      <c r="G85" s="366">
        <f>ROUND(B85*C85*D85*E85*F85,2)</f>
        <v>0</v>
      </c>
      <c r="H85" s="23">
        <f>ROUND(G85*30.2%,2)</f>
        <v>0</v>
      </c>
      <c r="J85" s="33"/>
      <c r="K85" s="33" t="s">
        <v>346</v>
      </c>
      <c r="L85" s="33">
        <f>L84-L86</f>
        <v>0</v>
      </c>
      <c r="M85" s="380">
        <f>M84</f>
        <v>0</v>
      </c>
      <c r="N85" s="379"/>
      <c r="O85" s="379"/>
      <c r="P85" s="33">
        <f>IF(M85=0,0,ROUND(N85/M85,2))</f>
        <v>0</v>
      </c>
      <c r="Q85" s="33">
        <f>IF(N85=0,0,ROUND(O85/N85+1,9))</f>
        <v>0</v>
      </c>
    </row>
    <row r="86" spans="1:17" ht="13.5" thickBot="1" x14ac:dyDescent="0.25">
      <c r="A86" s="1041"/>
      <c r="B86" s="378"/>
      <c r="C86" s="362"/>
      <c r="D86" s="362"/>
      <c r="E86" s="362"/>
      <c r="F86" s="362"/>
      <c r="G86" s="366">
        <f>ROUND(B86*C86*D86*E86*F86,2)</f>
        <v>0</v>
      </c>
      <c r="H86" s="23">
        <f>ROUND(G86*30.2%,2)</f>
        <v>0</v>
      </c>
      <c r="J86" s="33"/>
      <c r="K86" s="33" t="s">
        <v>104</v>
      </c>
      <c r="L86" s="377"/>
      <c r="M86" s="33"/>
      <c r="N86" s="33"/>
      <c r="O86" s="33">
        <f>O84-O85</f>
        <v>0</v>
      </c>
      <c r="P86" s="33">
        <f>L86-O86</f>
        <v>0</v>
      </c>
      <c r="Q86" s="33"/>
    </row>
    <row r="87" spans="1:17" ht="15.75" thickBot="1" x14ac:dyDescent="0.3">
      <c r="A87" s="65"/>
      <c r="B87" s="43"/>
      <c r="C87" s="43"/>
      <c r="D87" s="43"/>
      <c r="E87" s="43"/>
      <c r="F87" s="43"/>
      <c r="G87" s="376">
        <f>SUM(G82:G86)</f>
        <v>0</v>
      </c>
      <c r="H87" s="375">
        <f>SUM(H82:H86)</f>
        <v>0</v>
      </c>
    </row>
    <row r="89" spans="1:17" x14ac:dyDescent="0.25">
      <c r="A89" s="12"/>
      <c r="G89" s="1023" t="s">
        <v>103</v>
      </c>
      <c r="H89" s="1023"/>
    </row>
    <row r="90" spans="1:17" ht="18.75" customHeight="1" x14ac:dyDescent="0.3">
      <c r="A90" s="957" t="s">
        <v>102</v>
      </c>
      <c r="B90" s="957"/>
      <c r="C90" s="957"/>
      <c r="D90" s="957"/>
      <c r="E90" s="957"/>
      <c r="F90" s="957"/>
      <c r="G90" s="957"/>
    </row>
    <row r="91" spans="1:17" ht="20.25" x14ac:dyDescent="0.3">
      <c r="A91" s="361"/>
      <c r="B91" s="361"/>
      <c r="C91" s="361"/>
      <c r="D91" s="361"/>
      <c r="E91" s="361"/>
      <c r="F91" s="361"/>
      <c r="G91" s="361"/>
    </row>
    <row r="92" spans="1:17" ht="16.5" customHeight="1" thickBot="1" x14ac:dyDescent="0.3">
      <c r="A92" s="943" t="s">
        <v>345</v>
      </c>
      <c r="B92" s="943"/>
      <c r="C92" s="943"/>
      <c r="D92" s="943"/>
      <c r="E92" s="943"/>
      <c r="F92" s="943"/>
      <c r="G92" s="943"/>
    </row>
    <row r="93" spans="1:17" ht="39" x14ac:dyDescent="0.25">
      <c r="A93" s="25" t="s">
        <v>95</v>
      </c>
      <c r="B93" s="374" t="s">
        <v>94</v>
      </c>
      <c r="C93" s="374" t="s">
        <v>93</v>
      </c>
      <c r="D93" s="374" t="s">
        <v>92</v>
      </c>
      <c r="E93" s="374" t="s">
        <v>91</v>
      </c>
      <c r="F93" s="374" t="s">
        <v>90</v>
      </c>
      <c r="G93" s="373" t="s">
        <v>89</v>
      </c>
    </row>
    <row r="94" spans="1:17" x14ac:dyDescent="0.25">
      <c r="A94" s="22">
        <f>L81</f>
        <v>0</v>
      </c>
      <c r="B94" s="362">
        <v>1</v>
      </c>
      <c r="C94" s="362">
        <v>1</v>
      </c>
      <c r="D94" s="362">
        <v>12</v>
      </c>
      <c r="E94" s="362">
        <v>1</v>
      </c>
      <c r="F94" s="625">
        <f>ROUND(A94*B94*C94*D94*E94,2)</f>
        <v>0</v>
      </c>
      <c r="G94" s="626">
        <f>ROUND(F94*30.2%,2)</f>
        <v>0</v>
      </c>
    </row>
    <row r="95" spans="1:17" x14ac:dyDescent="0.25">
      <c r="A95" s="22">
        <f>L86</f>
        <v>0</v>
      </c>
      <c r="B95" s="362">
        <f>P86</f>
        <v>0</v>
      </c>
      <c r="C95" s="362">
        <f>O86</f>
        <v>0</v>
      </c>
      <c r="D95" s="362"/>
      <c r="E95" s="362">
        <v>1</v>
      </c>
      <c r="F95" s="362">
        <f>ROUND(A95*B95*C95*D95*E95,2)</f>
        <v>0</v>
      </c>
      <c r="G95" s="363">
        <f>ROUND(F95*30.2%,2)</f>
        <v>0</v>
      </c>
    </row>
    <row r="96" spans="1:17" x14ac:dyDescent="0.25">
      <c r="A96" s="22"/>
      <c r="B96" s="362"/>
      <c r="C96" s="362"/>
      <c r="D96" s="362"/>
      <c r="E96" s="362"/>
      <c r="F96" s="362">
        <f>ROUND(A96*B96*C96*D96*E96,2)</f>
        <v>0</v>
      </c>
      <c r="G96" s="363">
        <f>ROUND(F96*30.2%,2)</f>
        <v>0</v>
      </c>
    </row>
    <row r="97" spans="1:7" x14ac:dyDescent="0.25">
      <c r="A97" s="22"/>
      <c r="B97" s="362"/>
      <c r="C97" s="362"/>
      <c r="D97" s="362"/>
      <c r="E97" s="362"/>
      <c r="F97" s="362">
        <f>ROUND(A97*B97*C97*D97*E97,2)</f>
        <v>0</v>
      </c>
      <c r="G97" s="363">
        <f>ROUND(F97*30.2%,2)</f>
        <v>0</v>
      </c>
    </row>
    <row r="98" spans="1:7" ht="15.75" thickBot="1" x14ac:dyDescent="0.3">
      <c r="A98" s="20"/>
      <c r="B98" s="364"/>
      <c r="C98" s="364"/>
      <c r="D98" s="364"/>
      <c r="E98" s="364"/>
      <c r="F98" s="364">
        <f>ROUND(A98*B98*C98*D98*E98,2)</f>
        <v>0</v>
      </c>
      <c r="G98" s="365">
        <f>ROUND(F98*30.2%,2)</f>
        <v>0</v>
      </c>
    </row>
    <row r="99" spans="1:7" ht="15.75" thickBot="1" x14ac:dyDescent="0.3">
      <c r="A99" s="43"/>
      <c r="B99" s="42"/>
      <c r="C99" s="43"/>
      <c r="D99" s="43"/>
      <c r="E99" s="43"/>
      <c r="F99" s="287">
        <f>SUM(F94:F98)</f>
        <v>0</v>
      </c>
      <c r="G99" s="372">
        <f>SUM(G94:G98)</f>
        <v>0</v>
      </c>
    </row>
    <row r="100" spans="1:7" x14ac:dyDescent="0.25">
      <c r="A100" s="15" t="s">
        <v>544</v>
      </c>
      <c r="B100" s="70"/>
      <c r="C100" s="211"/>
      <c r="D100" s="941"/>
      <c r="E100" s="942"/>
      <c r="F100" s="15"/>
      <c r="G100" s="13"/>
    </row>
    <row r="101" spans="1:7" x14ac:dyDescent="0.25">
      <c r="A101" s="67"/>
      <c r="B101" s="67"/>
      <c r="C101" s="67"/>
      <c r="D101" s="67"/>
      <c r="E101" s="14"/>
      <c r="F101" s="11"/>
      <c r="G101" s="13"/>
    </row>
    <row r="102" spans="1:7" x14ac:dyDescent="0.25">
      <c r="A102" s="11" t="s">
        <v>545</v>
      </c>
      <c r="B102" s="67"/>
      <c r="C102" s="212"/>
      <c r="D102" s="941"/>
      <c r="E102" s="942"/>
      <c r="F102" s="11"/>
      <c r="G102" s="13"/>
    </row>
    <row r="103" spans="1:7" x14ac:dyDescent="0.25">
      <c r="B103" s="65"/>
      <c r="C103" s="65"/>
      <c r="D103" s="704"/>
      <c r="E103" s="11"/>
      <c r="F103" s="11"/>
      <c r="G103" s="13"/>
    </row>
    <row r="104" spans="1:7" x14ac:dyDescent="0.25">
      <c r="B104" s="43"/>
      <c r="C104" s="43"/>
    </row>
  </sheetData>
  <mergeCells count="39">
    <mergeCell ref="D24:E24"/>
    <mergeCell ref="D36:E36"/>
    <mergeCell ref="D100:E100"/>
    <mergeCell ref="D102:E102"/>
    <mergeCell ref="K6:O6"/>
    <mergeCell ref="D59:E59"/>
    <mergeCell ref="K77:P77"/>
    <mergeCell ref="A21:H23"/>
    <mergeCell ref="A41:G41"/>
    <mergeCell ref="A43:G43"/>
    <mergeCell ref="F40:G40"/>
    <mergeCell ref="B24:C24"/>
    <mergeCell ref="A6:A10"/>
    <mergeCell ref="A82:A86"/>
    <mergeCell ref="G77:H77"/>
    <mergeCell ref="B78:H78"/>
    <mergeCell ref="G1:H1"/>
    <mergeCell ref="B2:H2"/>
    <mergeCell ref="B4:H4"/>
    <mergeCell ref="B13:H13"/>
    <mergeCell ref="G3:H3"/>
    <mergeCell ref="B59:C59"/>
    <mergeCell ref="D26:E26"/>
    <mergeCell ref="B60:C60"/>
    <mergeCell ref="D60:E60"/>
    <mergeCell ref="A55:H57"/>
    <mergeCell ref="B25:C25"/>
    <mergeCell ref="D25:E25"/>
    <mergeCell ref="B26:C26"/>
    <mergeCell ref="D34:E34"/>
    <mergeCell ref="B58:C58"/>
    <mergeCell ref="D58:E58"/>
    <mergeCell ref="D73:E73"/>
    <mergeCell ref="D75:E75"/>
    <mergeCell ref="A90:G90"/>
    <mergeCell ref="A92:G92"/>
    <mergeCell ref="G89:H89"/>
    <mergeCell ref="G79:H79"/>
    <mergeCell ref="B80:H80"/>
  </mergeCells>
  <pageMargins left="0.59055118110236227" right="0" top="0.74803149606299213" bottom="0.74803149606299213" header="0.31496062992125984" footer="0.31496062992125984"/>
  <pageSetup paperSize="9" scale="89" orientation="portrait" r:id="rId1"/>
  <rowBreaks count="2" manualBreakCount="2">
    <brk id="39" max="7" man="1"/>
    <brk id="76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90"/>
  <sheetViews>
    <sheetView view="pageBreakPreview" topLeftCell="A4" zoomScaleNormal="100" zoomScaleSheetLayoutView="100" workbookViewId="0">
      <selection activeCell="A73" sqref="A73:XFD75"/>
    </sheetView>
  </sheetViews>
  <sheetFormatPr defaultColWidth="9.140625" defaultRowHeight="12.75" x14ac:dyDescent="0.2"/>
  <cols>
    <col min="1" max="1" width="23.42578125" style="11" customWidth="1"/>
    <col min="2" max="2" width="16.85546875" style="11" customWidth="1"/>
    <col min="3" max="4" width="12.85546875" style="11" customWidth="1"/>
    <col min="5" max="5" width="13" style="11" customWidth="1"/>
    <col min="6" max="6" width="12" style="11" customWidth="1"/>
    <col min="7" max="16384" width="9.140625" style="11"/>
  </cols>
  <sheetData>
    <row r="1" spans="1:6" x14ac:dyDescent="0.2">
      <c r="E1" s="996" t="s">
        <v>147</v>
      </c>
      <c r="F1" s="996"/>
    </row>
    <row r="2" spans="1:6" ht="18.75" x14ac:dyDescent="0.3">
      <c r="A2" s="1004" t="s">
        <v>146</v>
      </c>
      <c r="B2" s="1004"/>
      <c r="C2" s="1004"/>
      <c r="D2" s="1004"/>
      <c r="E2" s="1004"/>
      <c r="F2" s="1004"/>
    </row>
    <row r="3" spans="1:6" s="65" customFormat="1" x14ac:dyDescent="0.2">
      <c r="A3" s="369"/>
      <c r="B3" s="369"/>
      <c r="C3" s="369"/>
      <c r="D3" s="369"/>
      <c r="E3" s="369"/>
      <c r="F3" s="369"/>
    </row>
    <row r="4" spans="1:6" ht="13.5" thickBot="1" x14ac:dyDescent="0.25">
      <c r="A4" s="369"/>
      <c r="B4" s="369"/>
      <c r="C4" s="369"/>
      <c r="D4" s="369"/>
      <c r="E4" s="369"/>
      <c r="F4" s="369"/>
    </row>
    <row r="5" spans="1:6" s="12" customFormat="1" ht="25.5" x14ac:dyDescent="0.2">
      <c r="A5" s="25"/>
      <c r="B5" s="374" t="s">
        <v>137</v>
      </c>
      <c r="C5" s="374" t="s">
        <v>136</v>
      </c>
      <c r="D5" s="374" t="s">
        <v>92</v>
      </c>
      <c r="E5" s="374" t="s">
        <v>91</v>
      </c>
      <c r="F5" s="373" t="s">
        <v>135</v>
      </c>
    </row>
    <row r="6" spans="1:6" x14ac:dyDescent="0.2">
      <c r="A6" s="404" t="s">
        <v>197</v>
      </c>
      <c r="B6" s="403"/>
      <c r="C6" s="403">
        <v>1</v>
      </c>
      <c r="D6" s="403">
        <v>12</v>
      </c>
      <c r="E6" s="403">
        <v>1</v>
      </c>
      <c r="F6" s="402">
        <f t="shared" ref="F6:F23" si="0">ROUND(B6*C6*D6*E6,2)</f>
        <v>0</v>
      </c>
    </row>
    <row r="7" spans="1:6" ht="25.5" x14ac:dyDescent="0.2">
      <c r="A7" s="404" t="s">
        <v>400</v>
      </c>
      <c r="B7" s="403"/>
      <c r="C7" s="403">
        <v>1</v>
      </c>
      <c r="D7" s="403">
        <v>12</v>
      </c>
      <c r="E7" s="403">
        <v>1</v>
      </c>
      <c r="F7" s="402">
        <f t="shared" si="0"/>
        <v>0</v>
      </c>
    </row>
    <row r="8" spans="1:6" ht="25.5" x14ac:dyDescent="0.2">
      <c r="A8" s="404" t="s">
        <v>399</v>
      </c>
      <c r="B8" s="403"/>
      <c r="C8" s="403">
        <v>1</v>
      </c>
      <c r="D8" s="403">
        <v>12</v>
      </c>
      <c r="E8" s="403">
        <v>1</v>
      </c>
      <c r="F8" s="402">
        <f t="shared" si="0"/>
        <v>0</v>
      </c>
    </row>
    <row r="9" spans="1:6" ht="25.5" x14ac:dyDescent="0.2">
      <c r="A9" s="404" t="s">
        <v>398</v>
      </c>
      <c r="B9" s="403"/>
      <c r="C9" s="403"/>
      <c r="D9" s="403">
        <v>12</v>
      </c>
      <c r="E9" s="403">
        <v>1</v>
      </c>
      <c r="F9" s="402">
        <f t="shared" si="0"/>
        <v>0</v>
      </c>
    </row>
    <row r="10" spans="1:6" ht="25.5" x14ac:dyDescent="0.2">
      <c r="A10" s="404" t="s">
        <v>397</v>
      </c>
      <c r="B10" s="403"/>
      <c r="C10" s="403">
        <v>1</v>
      </c>
      <c r="D10" s="403"/>
      <c r="E10" s="403"/>
      <c r="F10" s="402">
        <f t="shared" si="0"/>
        <v>0</v>
      </c>
    </row>
    <row r="11" spans="1:6" ht="25.5" x14ac:dyDescent="0.2">
      <c r="A11" s="404" t="s">
        <v>142</v>
      </c>
      <c r="B11" s="403"/>
      <c r="C11" s="403"/>
      <c r="D11" s="403"/>
      <c r="E11" s="403"/>
      <c r="F11" s="402">
        <f t="shared" si="0"/>
        <v>0</v>
      </c>
    </row>
    <row r="12" spans="1:6" ht="14.25" customHeight="1" x14ac:dyDescent="0.2">
      <c r="A12" s="404" t="s">
        <v>143</v>
      </c>
      <c r="B12" s="403"/>
      <c r="C12" s="403"/>
      <c r="D12" s="403">
        <v>12</v>
      </c>
      <c r="E12" s="403">
        <v>1</v>
      </c>
      <c r="F12" s="402">
        <f t="shared" si="0"/>
        <v>0</v>
      </c>
    </row>
    <row r="13" spans="1:6" ht="25.5" x14ac:dyDescent="0.2">
      <c r="A13" s="404" t="s">
        <v>396</v>
      </c>
      <c r="B13" s="403"/>
      <c r="C13" s="403">
        <v>1</v>
      </c>
      <c r="D13" s="403">
        <v>1</v>
      </c>
      <c r="E13" s="403">
        <v>1</v>
      </c>
      <c r="F13" s="402">
        <f t="shared" si="0"/>
        <v>0</v>
      </c>
    </row>
    <row r="14" spans="1:6" ht="25.5" x14ac:dyDescent="0.2">
      <c r="A14" s="404" t="s">
        <v>395</v>
      </c>
      <c r="B14" s="403"/>
      <c r="C14" s="403"/>
      <c r="D14" s="403">
        <v>12</v>
      </c>
      <c r="E14" s="403">
        <v>1</v>
      </c>
      <c r="F14" s="402">
        <f t="shared" si="0"/>
        <v>0</v>
      </c>
    </row>
    <row r="15" spans="1:6" ht="25.5" x14ac:dyDescent="0.2">
      <c r="A15" s="404" t="s">
        <v>394</v>
      </c>
      <c r="B15" s="403"/>
      <c r="C15" s="403"/>
      <c r="D15" s="403">
        <v>1</v>
      </c>
      <c r="E15" s="403">
        <v>1</v>
      </c>
      <c r="F15" s="402">
        <f t="shared" si="0"/>
        <v>0</v>
      </c>
    </row>
    <row r="16" spans="1:6" ht="25.5" x14ac:dyDescent="0.2">
      <c r="A16" s="404" t="s">
        <v>393</v>
      </c>
      <c r="B16" s="403"/>
      <c r="C16" s="403"/>
      <c r="D16" s="403">
        <v>1</v>
      </c>
      <c r="E16" s="403">
        <v>1</v>
      </c>
      <c r="F16" s="402">
        <f t="shared" si="0"/>
        <v>0</v>
      </c>
    </row>
    <row r="17" spans="1:6" x14ac:dyDescent="0.2">
      <c r="A17" s="404" t="s">
        <v>392</v>
      </c>
      <c r="B17" s="403"/>
      <c r="C17" s="403"/>
      <c r="D17" s="403"/>
      <c r="E17" s="403"/>
      <c r="F17" s="402">
        <f t="shared" si="0"/>
        <v>0</v>
      </c>
    </row>
    <row r="18" spans="1:6" x14ac:dyDescent="0.2">
      <c r="A18" s="404" t="s">
        <v>391</v>
      </c>
      <c r="B18" s="403"/>
      <c r="C18" s="403"/>
      <c r="D18" s="403">
        <v>1</v>
      </c>
      <c r="E18" s="403">
        <v>1</v>
      </c>
      <c r="F18" s="402">
        <f t="shared" si="0"/>
        <v>0</v>
      </c>
    </row>
    <row r="19" spans="1:6" x14ac:dyDescent="0.2">
      <c r="A19" s="404" t="s">
        <v>390</v>
      </c>
      <c r="B19" s="403"/>
      <c r="C19" s="403"/>
      <c r="D19" s="403">
        <v>1</v>
      </c>
      <c r="E19" s="403">
        <v>1</v>
      </c>
      <c r="F19" s="402">
        <f t="shared" si="0"/>
        <v>0</v>
      </c>
    </row>
    <row r="20" spans="1:6" x14ac:dyDescent="0.2">
      <c r="A20" s="404" t="s">
        <v>389</v>
      </c>
      <c r="B20" s="403"/>
      <c r="C20" s="403"/>
      <c r="D20" s="403"/>
      <c r="E20" s="403"/>
      <c r="F20" s="402">
        <f t="shared" si="0"/>
        <v>0</v>
      </c>
    </row>
    <row r="21" spans="1:6" x14ac:dyDescent="0.2">
      <c r="A21" s="404" t="s">
        <v>265</v>
      </c>
      <c r="B21" s="403"/>
      <c r="C21" s="403"/>
      <c r="D21" s="403">
        <v>1</v>
      </c>
      <c r="E21" s="403">
        <v>1</v>
      </c>
      <c r="F21" s="402">
        <f t="shared" si="0"/>
        <v>0</v>
      </c>
    </row>
    <row r="22" spans="1:6" ht="23.25" customHeight="1" x14ac:dyDescent="0.2">
      <c r="A22" s="404" t="s">
        <v>388</v>
      </c>
      <c r="B22" s="403"/>
      <c r="C22" s="403"/>
      <c r="D22" s="403">
        <v>12</v>
      </c>
      <c r="E22" s="403">
        <v>1</v>
      </c>
      <c r="F22" s="402">
        <f t="shared" si="0"/>
        <v>0</v>
      </c>
    </row>
    <row r="23" spans="1:6" x14ac:dyDescent="0.2">
      <c r="A23" s="404" t="s">
        <v>387</v>
      </c>
      <c r="B23" s="403"/>
      <c r="C23" s="403"/>
      <c r="D23" s="403">
        <v>1</v>
      </c>
      <c r="E23" s="403">
        <v>1</v>
      </c>
      <c r="F23" s="402">
        <f t="shared" si="0"/>
        <v>0</v>
      </c>
    </row>
    <row r="24" spans="1:6" ht="13.5" thickBot="1" x14ac:dyDescent="0.25">
      <c r="A24" s="410"/>
      <c r="B24" s="403"/>
      <c r="C24" s="403"/>
      <c r="D24" s="409"/>
      <c r="E24" s="409"/>
      <c r="F24" s="408"/>
    </row>
    <row r="25" spans="1:6" x14ac:dyDescent="0.2">
      <c r="A25" s="387"/>
      <c r="B25" s="431"/>
      <c r="C25" s="431"/>
      <c r="D25" s="431"/>
      <c r="E25" s="431"/>
      <c r="F25" s="431"/>
    </row>
    <row r="26" spans="1:6" hidden="1" x14ac:dyDescent="0.2">
      <c r="A26" s="387"/>
      <c r="B26" s="431"/>
      <c r="C26" s="431"/>
      <c r="D26" s="431"/>
      <c r="E26" s="431"/>
      <c r="F26" s="431"/>
    </row>
    <row r="27" spans="1:6" hidden="1" x14ac:dyDescent="0.2">
      <c r="A27" s="387"/>
      <c r="B27" s="431"/>
      <c r="C27" s="431"/>
      <c r="D27" s="431"/>
      <c r="E27" s="431"/>
      <c r="F27" s="431"/>
    </row>
    <row r="28" spans="1:6" hidden="1" x14ac:dyDescent="0.2">
      <c r="A28" s="387"/>
      <c r="B28" s="431"/>
      <c r="C28" s="431"/>
      <c r="D28" s="431"/>
      <c r="E28" s="431"/>
      <c r="F28" s="431"/>
    </row>
    <row r="29" spans="1:6" hidden="1" x14ac:dyDescent="0.2">
      <c r="A29" s="387"/>
      <c r="B29" s="431"/>
      <c r="C29" s="431"/>
      <c r="D29" s="431"/>
      <c r="E29" s="431"/>
      <c r="F29" s="431"/>
    </row>
    <row r="30" spans="1:6" hidden="1" x14ac:dyDescent="0.2">
      <c r="A30" s="387"/>
      <c r="B30" s="431"/>
      <c r="C30" s="431"/>
      <c r="D30" s="431"/>
      <c r="E30" s="431"/>
      <c r="F30" s="431"/>
    </row>
    <row r="31" spans="1:6" x14ac:dyDescent="0.2">
      <c r="A31" s="429"/>
      <c r="B31" s="13"/>
      <c r="C31" s="13"/>
      <c r="D31" s="13"/>
      <c r="E31" s="13"/>
      <c r="F31" s="13"/>
    </row>
    <row r="32" spans="1:6" ht="32.25" customHeight="1" x14ac:dyDescent="0.3">
      <c r="A32" s="1043" t="s">
        <v>140</v>
      </c>
      <c r="B32" s="1044"/>
      <c r="C32" s="1044"/>
      <c r="D32" s="1044"/>
      <c r="E32" s="1044"/>
      <c r="F32" s="1044"/>
    </row>
    <row r="33" spans="1:6" ht="13.5" thickBot="1" x14ac:dyDescent="0.25">
      <c r="A33" s="429"/>
      <c r="B33" s="13"/>
      <c r="C33" s="13"/>
      <c r="D33" s="13"/>
      <c r="E33" s="13"/>
      <c r="F33" s="13"/>
    </row>
    <row r="34" spans="1:6" ht="25.5" x14ac:dyDescent="0.2">
      <c r="A34" s="414"/>
      <c r="B34" s="413" t="s">
        <v>137</v>
      </c>
      <c r="C34" s="413" t="s">
        <v>136</v>
      </c>
      <c r="D34" s="413" t="s">
        <v>92</v>
      </c>
      <c r="E34" s="413" t="s">
        <v>91</v>
      </c>
      <c r="F34" s="412" t="s">
        <v>135</v>
      </c>
    </row>
    <row r="35" spans="1:6" ht="25.5" x14ac:dyDescent="0.2">
      <c r="A35" s="404" t="s">
        <v>386</v>
      </c>
      <c r="B35" s="403"/>
      <c r="C35" s="403">
        <v>1</v>
      </c>
      <c r="D35" s="403">
        <v>12</v>
      </c>
      <c r="E35" s="403"/>
      <c r="F35" s="402">
        <f>ROUND(B35*C35*D35,2)</f>
        <v>0</v>
      </c>
    </row>
    <row r="36" spans="1:6" x14ac:dyDescent="0.2">
      <c r="A36" s="404" t="s">
        <v>310</v>
      </c>
      <c r="B36" s="403"/>
      <c r="C36" s="403"/>
      <c r="D36" s="403">
        <v>12</v>
      </c>
      <c r="E36" s="403"/>
      <c r="F36" s="402">
        <f>ROUND(B36*C36*D36,2)</f>
        <v>0</v>
      </c>
    </row>
    <row r="37" spans="1:6" ht="25.5" hidden="1" x14ac:dyDescent="0.2">
      <c r="A37" s="404" t="s">
        <v>386</v>
      </c>
      <c r="B37" s="403"/>
      <c r="C37" s="403"/>
      <c r="D37" s="403"/>
      <c r="E37" s="403"/>
      <c r="F37" s="402">
        <f>ROUND(B37*C37*D37,2)</f>
        <v>0</v>
      </c>
    </row>
    <row r="38" spans="1:6" hidden="1" x14ac:dyDescent="0.2">
      <c r="A38" s="404" t="s">
        <v>310</v>
      </c>
      <c r="B38" s="403"/>
      <c r="C38" s="403"/>
      <c r="D38" s="403"/>
      <c r="E38" s="403"/>
      <c r="F38" s="402">
        <f>ROUND(B38*C38*D38,2)</f>
        <v>0</v>
      </c>
    </row>
    <row r="39" spans="1:6" x14ac:dyDescent="0.2">
      <c r="A39" s="404" t="s">
        <v>385</v>
      </c>
      <c r="B39" s="403"/>
      <c r="C39" s="403"/>
      <c r="D39" s="403"/>
      <c r="E39" s="403"/>
      <c r="F39" s="402">
        <f>ROUND(B39*C39*D39*E39,2)</f>
        <v>0</v>
      </c>
    </row>
    <row r="40" spans="1:6" hidden="1" x14ac:dyDescent="0.2">
      <c r="A40" s="404" t="s">
        <v>384</v>
      </c>
      <c r="B40" s="403"/>
      <c r="C40" s="403"/>
      <c r="D40" s="403"/>
      <c r="E40" s="403">
        <v>1</v>
      </c>
      <c r="F40" s="402">
        <f>ROUND(B40*C40*D40*E40,2)</f>
        <v>0</v>
      </c>
    </row>
    <row r="41" spans="1:6" hidden="1" x14ac:dyDescent="0.2">
      <c r="A41" s="404" t="s">
        <v>384</v>
      </c>
      <c r="B41" s="403"/>
      <c r="C41" s="403"/>
      <c r="D41" s="403"/>
      <c r="E41" s="403">
        <v>1</v>
      </c>
      <c r="F41" s="402">
        <f>ROUND(B41*C41*D41*E41,2)</f>
        <v>0</v>
      </c>
    </row>
    <row r="42" spans="1:6" x14ac:dyDescent="0.2">
      <c r="A42" s="404" t="s">
        <v>88</v>
      </c>
      <c r="B42" s="403"/>
      <c r="C42" s="403"/>
      <c r="D42" s="403"/>
      <c r="E42" s="403"/>
      <c r="F42" s="430">
        <f>ROUND(F35+F36+F39+F37+F38+F40+F41,0)</f>
        <v>0</v>
      </c>
    </row>
    <row r="43" spans="1:6" ht="27" customHeight="1" thickBot="1" x14ac:dyDescent="0.25">
      <c r="A43" s="410" t="s">
        <v>139</v>
      </c>
      <c r="B43" s="409"/>
      <c r="C43" s="409"/>
      <c r="D43" s="409"/>
      <c r="E43" s="409"/>
      <c r="F43" s="408">
        <f>ROUND(B43*C43*D43*E43,2)</f>
        <v>0</v>
      </c>
    </row>
    <row r="44" spans="1:6" x14ac:dyDescent="0.2">
      <c r="A44" s="429"/>
      <c r="B44" s="13"/>
      <c r="C44" s="13"/>
      <c r="D44" s="13"/>
      <c r="E44" s="13"/>
      <c r="F44" s="13"/>
    </row>
    <row r="45" spans="1:6" ht="18.75" hidden="1" x14ac:dyDescent="0.3">
      <c r="A45" s="1042" t="s">
        <v>383</v>
      </c>
      <c r="B45" s="1042"/>
      <c r="C45" s="1042"/>
      <c r="D45" s="1042"/>
      <c r="E45" s="1042"/>
      <c r="F45" s="1042"/>
    </row>
    <row r="46" spans="1:6" ht="78.75" hidden="1" x14ac:dyDescent="0.2">
      <c r="A46" s="428" t="s">
        <v>25</v>
      </c>
      <c r="B46" s="428" t="s">
        <v>382</v>
      </c>
      <c r="C46" s="428" t="s">
        <v>381</v>
      </c>
      <c r="D46" s="428" t="s">
        <v>380</v>
      </c>
      <c r="E46" s="428" t="s">
        <v>379</v>
      </c>
      <c r="F46" s="428" t="s">
        <v>378</v>
      </c>
    </row>
    <row r="47" spans="1:6" ht="25.5" hidden="1" x14ac:dyDescent="0.2">
      <c r="A47" s="427" t="s">
        <v>377</v>
      </c>
      <c r="B47" s="426">
        <f>ROUND(C47*D47*E47*F47,2)</f>
        <v>0</v>
      </c>
      <c r="C47" s="426">
        <v>5.47</v>
      </c>
      <c r="D47" s="426">
        <v>248</v>
      </c>
      <c r="E47" s="426">
        <v>0</v>
      </c>
      <c r="F47" s="426">
        <v>1</v>
      </c>
    </row>
    <row r="48" spans="1:6" ht="25.5" hidden="1" x14ac:dyDescent="0.2">
      <c r="A48" s="427" t="s">
        <v>377</v>
      </c>
      <c r="B48" s="426">
        <f>ROUND(C48*D48*E48*F48,2)</f>
        <v>0</v>
      </c>
      <c r="C48" s="426">
        <v>5.47</v>
      </c>
      <c r="D48" s="426"/>
      <c r="E48" s="426">
        <v>0</v>
      </c>
      <c r="F48" s="426">
        <v>1</v>
      </c>
    </row>
    <row r="49" spans="1:6" ht="25.5" hidden="1" x14ac:dyDescent="0.2">
      <c r="A49" s="427" t="s">
        <v>376</v>
      </c>
      <c r="B49" s="426">
        <f>ROUND(C49*D49*E49*F49,2)</f>
        <v>0</v>
      </c>
      <c r="C49" s="426">
        <v>57.12</v>
      </c>
      <c r="D49" s="426">
        <v>248</v>
      </c>
      <c r="E49" s="426">
        <v>0</v>
      </c>
      <c r="F49" s="426">
        <v>1</v>
      </c>
    </row>
    <row r="50" spans="1:6" ht="25.5" hidden="1" x14ac:dyDescent="0.2">
      <c r="A50" s="427" t="s">
        <v>375</v>
      </c>
      <c r="B50" s="426">
        <f>ROUND(C50*D50*E50*F50,2)</f>
        <v>0</v>
      </c>
      <c r="C50" s="426">
        <v>18.39</v>
      </c>
      <c r="D50" s="426">
        <v>248</v>
      </c>
      <c r="E50" s="426">
        <v>0</v>
      </c>
      <c r="F50" s="426">
        <v>1</v>
      </c>
    </row>
    <row r="51" spans="1:6" ht="25.5" hidden="1" x14ac:dyDescent="0.2">
      <c r="A51" s="427" t="s">
        <v>374</v>
      </c>
      <c r="B51" s="426">
        <f>ROUND(C51*D51*E51*F51,2)</f>
        <v>0</v>
      </c>
      <c r="C51" s="426">
        <v>5.47</v>
      </c>
      <c r="D51" s="426">
        <v>248</v>
      </c>
      <c r="E51" s="426">
        <v>0</v>
      </c>
      <c r="F51" s="426">
        <v>1</v>
      </c>
    </row>
    <row r="52" spans="1:6" ht="25.5" hidden="1" x14ac:dyDescent="0.2">
      <c r="A52" s="427" t="s">
        <v>373</v>
      </c>
      <c r="B52" s="426"/>
      <c r="C52" s="426"/>
      <c r="D52" s="426"/>
      <c r="E52" s="426">
        <v>0</v>
      </c>
      <c r="F52" s="426">
        <v>1</v>
      </c>
    </row>
    <row r="53" spans="1:6" hidden="1" x14ac:dyDescent="0.2">
      <c r="A53" s="425" t="s">
        <v>106</v>
      </c>
      <c r="B53" s="425">
        <f>SUM(B47:B52)</f>
        <v>0</v>
      </c>
      <c r="C53" s="425"/>
      <c r="D53" s="425"/>
      <c r="E53" s="425"/>
      <c r="F53" s="425"/>
    </row>
    <row r="54" spans="1:6" x14ac:dyDescent="0.2">
      <c r="A54" s="13"/>
      <c r="B54" s="13"/>
      <c r="C54" s="13"/>
      <c r="D54" s="13"/>
      <c r="E54" s="13"/>
      <c r="F54" s="13"/>
    </row>
    <row r="55" spans="1:6" ht="18.75" x14ac:dyDescent="0.3">
      <c r="A55" s="424" t="s">
        <v>372</v>
      </c>
      <c r="B55" s="423"/>
      <c r="C55" s="423"/>
      <c r="D55" s="422"/>
      <c r="E55" s="13"/>
      <c r="F55" s="13"/>
    </row>
    <row r="56" spans="1:6" ht="33.75" x14ac:dyDescent="0.2">
      <c r="A56" s="421" t="s">
        <v>25</v>
      </c>
      <c r="B56" s="421" t="s">
        <v>371</v>
      </c>
      <c r="C56" s="420"/>
      <c r="D56" s="13"/>
      <c r="E56" s="13"/>
      <c r="F56" s="13"/>
    </row>
    <row r="57" spans="1:6" ht="15.75" x14ac:dyDescent="0.25">
      <c r="A57" s="419" t="s">
        <v>370</v>
      </c>
      <c r="B57" s="418"/>
      <c r="C57" s="417"/>
      <c r="D57" s="13"/>
      <c r="E57" s="13"/>
      <c r="F57" s="13"/>
    </row>
    <row r="58" spans="1:6" ht="15.75" x14ac:dyDescent="0.25">
      <c r="A58" s="419" t="s">
        <v>369</v>
      </c>
      <c r="B58" s="418"/>
      <c r="C58" s="417"/>
      <c r="D58" s="13"/>
      <c r="E58" s="13"/>
      <c r="F58" s="13"/>
    </row>
    <row r="59" spans="1:6" ht="14.25" x14ac:dyDescent="0.2">
      <c r="A59" s="416" t="s">
        <v>106</v>
      </c>
      <c r="B59" s="416">
        <f>SUM(B57:B58)</f>
        <v>0</v>
      </c>
      <c r="C59" s="415"/>
      <c r="D59" s="13"/>
      <c r="E59" s="13"/>
      <c r="F59" s="13"/>
    </row>
    <row r="60" spans="1:6" x14ac:dyDescent="0.2">
      <c r="A60" s="13"/>
      <c r="B60" s="13"/>
      <c r="C60" s="13"/>
      <c r="D60" s="13"/>
      <c r="E60" s="13"/>
      <c r="F60" s="13"/>
    </row>
    <row r="61" spans="1:6" ht="18.75" x14ac:dyDescent="0.3">
      <c r="A61" s="1045" t="s">
        <v>138</v>
      </c>
      <c r="B61" s="1046"/>
      <c r="C61" s="1046"/>
      <c r="D61" s="1046"/>
      <c r="E61" s="1046"/>
      <c r="F61" s="1046"/>
    </row>
    <row r="62" spans="1:6" ht="13.5" thickBot="1" x14ac:dyDescent="0.25">
      <c r="A62" s="13"/>
      <c r="B62" s="13"/>
      <c r="C62" s="13"/>
      <c r="D62" s="13"/>
      <c r="E62" s="13"/>
      <c r="F62" s="13"/>
    </row>
    <row r="63" spans="1:6" ht="25.5" x14ac:dyDescent="0.2">
      <c r="A63" s="414"/>
      <c r="B63" s="413" t="s">
        <v>137</v>
      </c>
      <c r="C63" s="413" t="s">
        <v>136</v>
      </c>
      <c r="D63" s="413" t="s">
        <v>92</v>
      </c>
      <c r="E63" s="413" t="s">
        <v>91</v>
      </c>
      <c r="F63" s="412" t="s">
        <v>135</v>
      </c>
    </row>
    <row r="64" spans="1:6" x14ac:dyDescent="0.2">
      <c r="A64" s="404" t="s">
        <v>368</v>
      </c>
      <c r="B64" s="403"/>
      <c r="C64" s="403">
        <v>1</v>
      </c>
      <c r="D64" s="403">
        <v>1</v>
      </c>
      <c r="E64" s="403">
        <v>1</v>
      </c>
      <c r="F64" s="402">
        <f>ROUND(B64*C64*D64*E64,2)</f>
        <v>0</v>
      </c>
    </row>
    <row r="65" spans="1:6" x14ac:dyDescent="0.2">
      <c r="A65" s="404" t="s">
        <v>368</v>
      </c>
      <c r="B65" s="403"/>
      <c r="C65" s="403"/>
      <c r="D65" s="403">
        <v>1</v>
      </c>
      <c r="E65" s="403">
        <v>1</v>
      </c>
      <c r="F65" s="402">
        <f>ROUND(B65*C65*D65*E65,2)</f>
        <v>0</v>
      </c>
    </row>
    <row r="66" spans="1:6" x14ac:dyDescent="0.2">
      <c r="A66" s="404" t="s">
        <v>367</v>
      </c>
      <c r="B66" s="403"/>
      <c r="C66" s="403"/>
      <c r="D66" s="403">
        <v>1</v>
      </c>
      <c r="E66" s="403">
        <v>1</v>
      </c>
      <c r="F66" s="402">
        <f>ROUND(B66*C66*D66*E66,2)</f>
        <v>0</v>
      </c>
    </row>
    <row r="67" spans="1:6" x14ac:dyDescent="0.2">
      <c r="A67" s="404" t="s">
        <v>366</v>
      </c>
      <c r="B67" s="403"/>
      <c r="C67" s="403"/>
      <c r="D67" s="403"/>
      <c r="E67" s="403"/>
      <c r="F67" s="402">
        <f>F64+F65+F66</f>
        <v>0</v>
      </c>
    </row>
    <row r="68" spans="1:6" ht="25.5" x14ac:dyDescent="0.2">
      <c r="A68" s="404" t="s">
        <v>365</v>
      </c>
      <c r="B68" s="403"/>
      <c r="C68" s="403"/>
      <c r="D68" s="403"/>
      <c r="E68" s="403"/>
      <c r="F68" s="402"/>
    </row>
    <row r="69" spans="1:6" ht="25.5" x14ac:dyDescent="0.2">
      <c r="A69" s="404" t="s">
        <v>364</v>
      </c>
      <c r="B69" s="403"/>
      <c r="C69" s="403"/>
      <c r="D69" s="403"/>
      <c r="E69" s="403"/>
      <c r="F69" s="402">
        <f t="shared" ref="F69:F74" si="1">ROUND(B69*C69*D69*E69,2)</f>
        <v>0</v>
      </c>
    </row>
    <row r="70" spans="1:6" ht="25.5" x14ac:dyDescent="0.2">
      <c r="A70" s="404" t="s">
        <v>363</v>
      </c>
      <c r="B70" s="403"/>
      <c r="C70" s="403"/>
      <c r="D70" s="403"/>
      <c r="E70" s="403"/>
      <c r="F70" s="402">
        <f t="shared" si="1"/>
        <v>0</v>
      </c>
    </row>
    <row r="71" spans="1:6" x14ac:dyDescent="0.2">
      <c r="A71" s="404" t="s">
        <v>362</v>
      </c>
      <c r="B71" s="403"/>
      <c r="C71" s="403"/>
      <c r="D71" s="403">
        <v>1</v>
      </c>
      <c r="E71" s="403">
        <v>1</v>
      </c>
      <c r="F71" s="402">
        <f t="shared" si="1"/>
        <v>0</v>
      </c>
    </row>
    <row r="72" spans="1:6" x14ac:dyDescent="0.2">
      <c r="A72" s="404" t="s">
        <v>361</v>
      </c>
      <c r="B72" s="403"/>
      <c r="C72" s="403"/>
      <c r="D72" s="403">
        <v>1</v>
      </c>
      <c r="E72" s="403">
        <v>1</v>
      </c>
      <c r="F72" s="402">
        <f t="shared" si="1"/>
        <v>0</v>
      </c>
    </row>
    <row r="73" spans="1:6" ht="25.5" x14ac:dyDescent="0.2">
      <c r="A73" s="411" t="s">
        <v>360</v>
      </c>
      <c r="B73" s="400"/>
      <c r="C73" s="400"/>
      <c r="D73" s="400"/>
      <c r="E73" s="400"/>
      <c r="F73" s="402">
        <f t="shared" si="1"/>
        <v>0</v>
      </c>
    </row>
    <row r="74" spans="1:6" x14ac:dyDescent="0.2">
      <c r="A74" s="404" t="s">
        <v>359</v>
      </c>
      <c r="B74" s="400"/>
      <c r="C74" s="400"/>
      <c r="D74" s="400"/>
      <c r="E74" s="400"/>
      <c r="F74" s="402">
        <f t="shared" si="1"/>
        <v>0</v>
      </c>
    </row>
    <row r="75" spans="1:6" ht="13.5" thickBot="1" x14ac:dyDescent="0.25">
      <c r="A75" s="410"/>
      <c r="B75" s="409"/>
      <c r="C75" s="409"/>
      <c r="D75" s="409"/>
      <c r="E75" s="409"/>
      <c r="F75" s="408"/>
    </row>
    <row r="76" spans="1:6" x14ac:dyDescent="0.2">
      <c r="A76" s="32" t="s">
        <v>358</v>
      </c>
      <c r="B76" s="407"/>
      <c r="C76" s="407"/>
      <c r="D76" s="407"/>
      <c r="E76" s="407"/>
      <c r="F76" s="406"/>
    </row>
    <row r="77" spans="1:6" x14ac:dyDescent="0.2">
      <c r="A77" s="32" t="s">
        <v>177</v>
      </c>
      <c r="B77" s="403"/>
      <c r="C77" s="403"/>
      <c r="D77" s="403"/>
      <c r="E77" s="403"/>
      <c r="F77" s="406"/>
    </row>
    <row r="78" spans="1:6" ht="13.5" thickBot="1" x14ac:dyDescent="0.25">
      <c r="A78" s="30" t="s">
        <v>176</v>
      </c>
      <c r="B78" s="403"/>
      <c r="C78" s="403"/>
      <c r="D78" s="403"/>
      <c r="E78" s="403"/>
      <c r="F78" s="405"/>
    </row>
    <row r="79" spans="1:6" ht="13.5" hidden="1" thickBot="1" x14ac:dyDescent="0.25">
      <c r="A79" s="404"/>
      <c r="B79" s="403"/>
      <c r="C79" s="403">
        <v>1</v>
      </c>
      <c r="D79" s="403"/>
      <c r="E79" s="403">
        <v>1</v>
      </c>
      <c r="F79" s="402">
        <f>ROUND(B79*C79*D79*E79,2)</f>
        <v>0</v>
      </c>
    </row>
    <row r="80" spans="1:6" ht="13.5" hidden="1" thickBot="1" x14ac:dyDescent="0.25">
      <c r="A80" s="404"/>
      <c r="B80" s="403"/>
      <c r="C80" s="403"/>
      <c r="D80" s="403"/>
      <c r="E80" s="403"/>
      <c r="F80" s="402">
        <f>ROUND(B80*C80*D80*E80,2)</f>
        <v>0</v>
      </c>
    </row>
    <row r="81" spans="1:82" ht="13.5" hidden="1" thickBot="1" x14ac:dyDescent="0.25">
      <c r="A81" s="404"/>
      <c r="B81" s="403"/>
      <c r="C81" s="403"/>
      <c r="D81" s="403"/>
      <c r="E81" s="403"/>
      <c r="F81" s="402">
        <f>ROUND(B81*C81*D81*E81,2)</f>
        <v>0</v>
      </c>
    </row>
    <row r="82" spans="1:82" ht="13.5" hidden="1" thickBot="1" x14ac:dyDescent="0.25">
      <c r="A82" s="401"/>
      <c r="B82" s="400"/>
      <c r="C82" s="400"/>
      <c r="D82" s="400"/>
      <c r="E82" s="400"/>
      <c r="F82" s="399"/>
    </row>
    <row r="83" spans="1:82" ht="13.5" thickBot="1" x14ac:dyDescent="0.25">
      <c r="A83" s="398" t="s">
        <v>357</v>
      </c>
      <c r="B83" s="397"/>
      <c r="C83" s="397"/>
      <c r="D83" s="397"/>
      <c r="E83" s="397"/>
      <c r="F83" s="396">
        <f>F76+F77+F78</f>
        <v>0</v>
      </c>
    </row>
    <row r="84" spans="1:82" x14ac:dyDescent="0.2">
      <c r="A84" s="13"/>
      <c r="B84" s="13"/>
      <c r="C84" s="13"/>
      <c r="D84" s="13"/>
      <c r="E84" s="13"/>
      <c r="F84" s="13"/>
      <c r="H84" s="38"/>
    </row>
    <row r="85" spans="1:82" ht="15" x14ac:dyDescent="0.25">
      <c r="A85" s="15" t="s">
        <v>544</v>
      </c>
      <c r="B85" s="70"/>
      <c r="C85" s="211"/>
      <c r="D85" s="941"/>
      <c r="E85" s="942"/>
      <c r="F85" s="12"/>
      <c r="G85" s="12"/>
      <c r="H85" s="12"/>
      <c r="I85" s="12"/>
      <c r="J85" s="246"/>
      <c r="K85" s="246"/>
      <c r="L85" s="246"/>
      <c r="M85"/>
      <c r="N85"/>
      <c r="O85"/>
      <c r="P85"/>
      <c r="Q85"/>
    </row>
    <row r="86" spans="1:82" ht="15" x14ac:dyDescent="0.25">
      <c r="A86" s="67"/>
      <c r="B86" s="67"/>
      <c r="C86" s="67"/>
      <c r="D86" s="67"/>
      <c r="E86" s="14"/>
      <c r="F86" s="12"/>
      <c r="G86" s="12"/>
      <c r="H86" s="12"/>
      <c r="I86" s="12"/>
      <c r="J86" s="246"/>
      <c r="K86" s="246"/>
      <c r="L86" s="246"/>
      <c r="M86"/>
      <c r="N86"/>
      <c r="O86"/>
      <c r="P86"/>
      <c r="Q86"/>
    </row>
    <row r="87" spans="1:82" ht="15" x14ac:dyDescent="0.25">
      <c r="A87" s="11" t="s">
        <v>545</v>
      </c>
      <c r="B87" s="67"/>
      <c r="C87" s="212"/>
      <c r="D87" s="941"/>
      <c r="E87" s="942"/>
      <c r="F87" s="12"/>
      <c r="G87" s="12"/>
      <c r="H87" s="12"/>
      <c r="I87" s="12"/>
      <c r="J87" s="246"/>
      <c r="K87" s="246"/>
      <c r="L87" s="246"/>
      <c r="M87"/>
      <c r="N87"/>
      <c r="O87"/>
      <c r="P87"/>
      <c r="Q87"/>
    </row>
    <row r="90" spans="1:82" x14ac:dyDescent="0.2">
      <c r="A90" s="65"/>
      <c r="B90" s="65"/>
      <c r="C90" s="65"/>
      <c r="D90" s="65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</row>
  </sheetData>
  <mergeCells count="7">
    <mergeCell ref="D85:E85"/>
    <mergeCell ref="D87:E87"/>
    <mergeCell ref="E1:F1"/>
    <mergeCell ref="A45:F45"/>
    <mergeCell ref="A2:F2"/>
    <mergeCell ref="A32:F32"/>
    <mergeCell ref="A61:F61"/>
  </mergeCells>
  <pageMargins left="0" right="0" top="0.36" bottom="0.5" header="0.31496062992125984" footer="0.31496062992125984"/>
  <pageSetup paperSize="9" orientation="portrait" r:id="rId1"/>
  <rowBreaks count="1" manualBreakCount="1">
    <brk id="43" max="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53"/>
  <sheetViews>
    <sheetView view="pageBreakPreview" topLeftCell="A28" zoomScale="89" zoomScaleNormal="100" zoomScaleSheetLayoutView="89" workbookViewId="0">
      <selection activeCell="A73" sqref="A73:XFD75"/>
    </sheetView>
  </sheetViews>
  <sheetFormatPr defaultColWidth="9.140625" defaultRowHeight="12.75" x14ac:dyDescent="0.2"/>
  <cols>
    <col min="1" max="1" width="23.42578125" style="11" customWidth="1"/>
    <col min="2" max="2" width="16.85546875" style="11" customWidth="1"/>
    <col min="3" max="4" width="12.85546875" style="11" customWidth="1"/>
    <col min="5" max="5" width="13" style="11" customWidth="1"/>
    <col min="6" max="6" width="12" style="11" customWidth="1"/>
    <col min="7" max="16384" width="9.140625" style="11"/>
  </cols>
  <sheetData>
    <row r="1" spans="1:6" x14ac:dyDescent="0.2">
      <c r="E1" s="996" t="s">
        <v>162</v>
      </c>
      <c r="F1" s="996"/>
    </row>
    <row r="2" spans="1:6" ht="18.75" x14ac:dyDescent="0.3">
      <c r="A2" s="1004" t="s">
        <v>161</v>
      </c>
      <c r="B2" s="1004"/>
      <c r="C2" s="1004"/>
      <c r="D2" s="1004"/>
      <c r="E2" s="1004"/>
      <c r="F2" s="1004"/>
    </row>
    <row r="3" spans="1:6" s="65" customFormat="1" x14ac:dyDescent="0.2">
      <c r="A3" s="369"/>
      <c r="B3" s="369"/>
      <c r="C3" s="369"/>
      <c r="D3" s="369"/>
      <c r="E3" s="369"/>
      <c r="F3" s="369"/>
    </row>
    <row r="4" spans="1:6" ht="13.5" thickBot="1" x14ac:dyDescent="0.25">
      <c r="A4" s="369"/>
      <c r="B4" s="369"/>
      <c r="C4" s="369"/>
      <c r="D4" s="369"/>
      <c r="E4" s="369"/>
      <c r="F4" s="369"/>
    </row>
    <row r="5" spans="1:6" s="12" customFormat="1" ht="25.5" x14ac:dyDescent="0.2">
      <c r="A5" s="25"/>
      <c r="B5" s="374" t="s">
        <v>137</v>
      </c>
      <c r="C5" s="374" t="s">
        <v>136</v>
      </c>
      <c r="D5" s="374" t="s">
        <v>92</v>
      </c>
      <c r="E5" s="374" t="s">
        <v>91</v>
      </c>
      <c r="F5" s="373" t="s">
        <v>135</v>
      </c>
    </row>
    <row r="6" spans="1:6" x14ac:dyDescent="0.2">
      <c r="A6" s="76" t="s">
        <v>160</v>
      </c>
      <c r="B6" s="433"/>
      <c r="C6" s="433"/>
      <c r="D6" s="433"/>
      <c r="E6" s="433">
        <v>1</v>
      </c>
      <c r="F6" s="406">
        <f>ROUND(B6*C6*D6*E6,2)</f>
        <v>0</v>
      </c>
    </row>
    <row r="7" spans="1:6" x14ac:dyDescent="0.2">
      <c r="A7" s="76" t="s">
        <v>159</v>
      </c>
      <c r="B7" s="433"/>
      <c r="C7" s="433">
        <v>1</v>
      </c>
      <c r="D7" s="433">
        <v>1</v>
      </c>
      <c r="E7" s="433">
        <v>1</v>
      </c>
      <c r="F7" s="406">
        <f>ROUND(B7*C7*D7*E7,2)</f>
        <v>0</v>
      </c>
    </row>
    <row r="8" spans="1:6" hidden="1" x14ac:dyDescent="0.2">
      <c r="A8" s="22" t="s">
        <v>145</v>
      </c>
      <c r="B8" s="433"/>
      <c r="C8" s="433">
        <v>1</v>
      </c>
      <c r="D8" s="433">
        <v>1</v>
      </c>
      <c r="E8" s="433">
        <v>1.0649999999999999</v>
      </c>
      <c r="F8" s="406">
        <f>ROUND(B8*C8*D8*E8,2)</f>
        <v>0</v>
      </c>
    </row>
    <row r="9" spans="1:6" ht="25.5" hidden="1" x14ac:dyDescent="0.2">
      <c r="A9" s="22" t="s">
        <v>158</v>
      </c>
      <c r="B9" s="433"/>
      <c r="C9" s="433">
        <v>1</v>
      </c>
      <c r="D9" s="433">
        <v>12</v>
      </c>
      <c r="E9" s="433">
        <v>1</v>
      </c>
      <c r="F9" s="406">
        <f>ROUND(B9*C9*D9*E9,2)</f>
        <v>0</v>
      </c>
    </row>
    <row r="10" spans="1:6" hidden="1" x14ac:dyDescent="0.2">
      <c r="A10" s="22" t="s">
        <v>157</v>
      </c>
      <c r="B10" s="433"/>
      <c r="C10" s="433"/>
      <c r="D10" s="433"/>
      <c r="E10" s="433"/>
      <c r="F10" s="406">
        <f>SUM(F6:F9)</f>
        <v>0</v>
      </c>
    </row>
    <row r="11" spans="1:6" hidden="1" x14ac:dyDescent="0.2">
      <c r="A11" s="22" t="s">
        <v>143</v>
      </c>
      <c r="B11" s="433"/>
      <c r="C11" s="433">
        <v>1</v>
      </c>
      <c r="D11" s="433">
        <v>12</v>
      </c>
      <c r="E11" s="433">
        <v>1.0649999999999999</v>
      </c>
      <c r="F11" s="406">
        <f>ROUND(B11*C11*D11*E11,2)</f>
        <v>0</v>
      </c>
    </row>
    <row r="12" spans="1:6" ht="25.5" hidden="1" x14ac:dyDescent="0.2">
      <c r="A12" s="22" t="s">
        <v>142</v>
      </c>
      <c r="B12" s="433"/>
      <c r="C12" s="433">
        <v>1</v>
      </c>
      <c r="D12" s="433">
        <v>1</v>
      </c>
      <c r="E12" s="433">
        <v>1</v>
      </c>
      <c r="F12" s="406">
        <f>ROUND(B12*C12*D12*E12,2)</f>
        <v>0</v>
      </c>
    </row>
    <row r="13" spans="1:6" hidden="1" x14ac:dyDescent="0.2">
      <c r="A13" s="22"/>
      <c r="B13" s="433"/>
      <c r="C13" s="433"/>
      <c r="D13" s="433"/>
      <c r="E13" s="433"/>
      <c r="F13" s="406"/>
    </row>
    <row r="14" spans="1:6" hidden="1" x14ac:dyDescent="0.2">
      <c r="A14" s="22"/>
      <c r="B14" s="433"/>
      <c r="C14" s="433"/>
      <c r="D14" s="433"/>
      <c r="E14" s="433"/>
      <c r="F14" s="406"/>
    </row>
    <row r="15" spans="1:6" hidden="1" x14ac:dyDescent="0.2">
      <c r="A15" s="22"/>
      <c r="B15" s="433"/>
      <c r="C15" s="433"/>
      <c r="D15" s="433"/>
      <c r="E15" s="433"/>
      <c r="F15" s="406"/>
    </row>
    <row r="16" spans="1:6" hidden="1" x14ac:dyDescent="0.2">
      <c r="A16" s="22"/>
      <c r="B16" s="433"/>
      <c r="C16" s="433"/>
      <c r="D16" s="433"/>
      <c r="E16" s="433"/>
      <c r="F16" s="406"/>
    </row>
    <row r="17" spans="1:6" hidden="1" x14ac:dyDescent="0.2">
      <c r="A17" s="22"/>
      <c r="B17" s="433"/>
      <c r="C17" s="433"/>
      <c r="D17" s="433"/>
      <c r="E17" s="433"/>
      <c r="F17" s="406"/>
    </row>
    <row r="18" spans="1:6" hidden="1" x14ac:dyDescent="0.2">
      <c r="A18" s="22"/>
      <c r="B18" s="433"/>
      <c r="C18" s="433"/>
      <c r="D18" s="433"/>
      <c r="E18" s="433"/>
      <c r="F18" s="406"/>
    </row>
    <row r="19" spans="1:6" hidden="1" x14ac:dyDescent="0.2">
      <c r="A19" s="22"/>
      <c r="B19" s="433"/>
      <c r="C19" s="433"/>
      <c r="D19" s="433"/>
      <c r="E19" s="433"/>
      <c r="F19" s="406"/>
    </row>
    <row r="20" spans="1:6" hidden="1" x14ac:dyDescent="0.2">
      <c r="A20" s="22"/>
      <c r="B20" s="433"/>
      <c r="C20" s="433"/>
      <c r="D20" s="433"/>
      <c r="E20" s="433"/>
      <c r="F20" s="406"/>
    </row>
    <row r="21" spans="1:6" hidden="1" x14ac:dyDescent="0.2">
      <c r="A21" s="22"/>
      <c r="B21" s="433"/>
      <c r="C21" s="433"/>
      <c r="D21" s="433"/>
      <c r="E21" s="433"/>
      <c r="F21" s="406"/>
    </row>
    <row r="22" spans="1:6" ht="13.5" thickBot="1" x14ac:dyDescent="0.25">
      <c r="A22" s="20"/>
      <c r="B22" s="432"/>
      <c r="C22" s="432"/>
      <c r="D22" s="432"/>
      <c r="E22" s="432"/>
      <c r="F22" s="405"/>
    </row>
    <row r="23" spans="1:6" ht="32.25" customHeight="1" x14ac:dyDescent="0.3">
      <c r="A23" s="1004" t="s">
        <v>156</v>
      </c>
      <c r="B23" s="926"/>
      <c r="C23" s="926"/>
      <c r="D23" s="926"/>
      <c r="E23" s="926"/>
      <c r="F23" s="926"/>
    </row>
    <row r="24" spans="1:6" ht="13.5" thickBot="1" x14ac:dyDescent="0.25">
      <c r="A24" s="12"/>
    </row>
    <row r="25" spans="1:6" ht="25.5" x14ac:dyDescent="0.2">
      <c r="A25" s="25"/>
      <c r="B25" s="374" t="s">
        <v>137</v>
      </c>
      <c r="C25" s="374" t="s">
        <v>136</v>
      </c>
      <c r="D25" s="374" t="s">
        <v>92</v>
      </c>
      <c r="E25" s="374" t="s">
        <v>91</v>
      </c>
      <c r="F25" s="373" t="s">
        <v>135</v>
      </c>
    </row>
    <row r="26" spans="1:6" x14ac:dyDescent="0.2">
      <c r="A26" s="76" t="s">
        <v>155</v>
      </c>
      <c r="B26" s="433"/>
      <c r="C26" s="433">
        <v>1</v>
      </c>
      <c r="D26" s="433">
        <v>1</v>
      </c>
      <c r="E26" s="433">
        <v>1</v>
      </c>
      <c r="F26" s="406">
        <f>ROUND(B26*C26*D26*E26,2)</f>
        <v>0</v>
      </c>
    </row>
    <row r="27" spans="1:6" x14ac:dyDescent="0.2">
      <c r="A27" s="76" t="s">
        <v>154</v>
      </c>
      <c r="B27" s="433"/>
      <c r="C27" s="433">
        <v>1</v>
      </c>
      <c r="D27" s="433">
        <v>1</v>
      </c>
      <c r="E27" s="433">
        <v>1</v>
      </c>
      <c r="F27" s="406">
        <f>ROUND(B27*C27*D27*E27,2)</f>
        <v>0</v>
      </c>
    </row>
    <row r="28" spans="1:6" x14ac:dyDescent="0.2">
      <c r="A28" s="76"/>
      <c r="B28" s="433"/>
      <c r="C28" s="433">
        <v>1</v>
      </c>
      <c r="D28" s="433">
        <v>1</v>
      </c>
      <c r="E28" s="433">
        <v>1</v>
      </c>
      <c r="F28" s="406">
        <f>ROUND(B28*C28*D28*E28,2)</f>
        <v>0</v>
      </c>
    </row>
    <row r="29" spans="1:6" ht="13.5" thickBot="1" x14ac:dyDescent="0.25">
      <c r="A29" s="20" t="s">
        <v>88</v>
      </c>
      <c r="B29" s="432"/>
      <c r="C29" s="432"/>
      <c r="D29" s="432"/>
      <c r="E29" s="432"/>
      <c r="F29" s="405">
        <f>F26+F27+F28</f>
        <v>0</v>
      </c>
    </row>
    <row r="30" spans="1:6" x14ac:dyDescent="0.2">
      <c r="A30" s="12"/>
    </row>
    <row r="31" spans="1:6" x14ac:dyDescent="0.2">
      <c r="A31" s="12"/>
    </row>
    <row r="32" spans="1:6" ht="37.5" customHeight="1" x14ac:dyDescent="0.3">
      <c r="A32" s="1005" t="s">
        <v>153</v>
      </c>
      <c r="B32" s="1006"/>
      <c r="C32" s="1006"/>
      <c r="D32" s="1006"/>
      <c r="E32" s="1006"/>
      <c r="F32" s="1007"/>
    </row>
    <row r="33" spans="1:6" x14ac:dyDescent="0.2">
      <c r="A33" s="59"/>
    </row>
    <row r="34" spans="1:6" ht="13.5" thickBot="1" x14ac:dyDescent="0.25">
      <c r="A34" s="59"/>
    </row>
    <row r="35" spans="1:6" ht="51" x14ac:dyDescent="0.2">
      <c r="A35" s="434"/>
      <c r="B35" s="374" t="s">
        <v>152</v>
      </c>
      <c r="C35" s="374" t="s">
        <v>151</v>
      </c>
      <c r="D35" s="374"/>
      <c r="E35" s="374"/>
      <c r="F35" s="373" t="s">
        <v>150</v>
      </c>
    </row>
    <row r="36" spans="1:6" x14ac:dyDescent="0.2">
      <c r="A36" s="76" t="s">
        <v>149</v>
      </c>
      <c r="B36" s="433"/>
      <c r="C36" s="433">
        <v>1</v>
      </c>
      <c r="D36" s="433"/>
      <c r="E36" s="433"/>
      <c r="F36" s="406">
        <f>ROUND(B36*C36,2)</f>
        <v>0</v>
      </c>
    </row>
    <row r="37" spans="1:6" ht="13.5" thickBot="1" x14ac:dyDescent="0.25">
      <c r="A37" s="30"/>
      <c r="B37" s="432"/>
      <c r="C37" s="432">
        <v>1</v>
      </c>
      <c r="D37" s="432"/>
      <c r="E37" s="432"/>
      <c r="F37" s="405">
        <f>ROUND(B37*C37*D37*E37,2)</f>
        <v>0</v>
      </c>
    </row>
    <row r="40" spans="1:6" ht="18.75" x14ac:dyDescent="0.3">
      <c r="A40" s="1001" t="s">
        <v>148</v>
      </c>
      <c r="B40" s="1002"/>
      <c r="C40" s="1002"/>
      <c r="D40" s="1002"/>
      <c r="E40" s="1002"/>
      <c r="F40" s="1002"/>
    </row>
    <row r="41" spans="1:6" ht="13.5" thickBot="1" x14ac:dyDescent="0.25"/>
    <row r="42" spans="1:6" ht="25.5" x14ac:dyDescent="0.2">
      <c r="A42" s="25"/>
      <c r="B42" s="374" t="s">
        <v>137</v>
      </c>
      <c r="C42" s="374" t="s">
        <v>136</v>
      </c>
      <c r="D42" s="374" t="s">
        <v>92</v>
      </c>
      <c r="E42" s="374" t="s">
        <v>91</v>
      </c>
      <c r="F42" s="373" t="s">
        <v>135</v>
      </c>
    </row>
    <row r="43" spans="1:6" x14ac:dyDescent="0.2">
      <c r="A43" s="22"/>
      <c r="B43" s="433"/>
      <c r="C43" s="433">
        <v>1</v>
      </c>
      <c r="D43" s="433">
        <v>1</v>
      </c>
      <c r="E43" s="433">
        <v>1</v>
      </c>
      <c r="F43" s="406">
        <f>ROUND(B43*C43*D43*E43,2)</f>
        <v>0</v>
      </c>
    </row>
    <row r="44" spans="1:6" x14ac:dyDescent="0.2">
      <c r="A44" s="22"/>
      <c r="B44" s="433"/>
      <c r="C44" s="433"/>
      <c r="D44" s="433"/>
      <c r="E44" s="433"/>
      <c r="F44" s="406">
        <f>ROUND(B44*C44*D44*E44,2)</f>
        <v>0</v>
      </c>
    </row>
    <row r="45" spans="1:6" ht="13.5" thickBot="1" x14ac:dyDescent="0.25">
      <c r="A45" s="20"/>
      <c r="B45" s="432"/>
      <c r="C45" s="432"/>
      <c r="D45" s="432"/>
      <c r="E45" s="432"/>
      <c r="F45" s="405">
        <f>ROUND(B45*C45*D45*E45,2)</f>
        <v>0</v>
      </c>
    </row>
    <row r="49" spans="1:82" ht="15" x14ac:dyDescent="0.25">
      <c r="A49" s="15" t="s">
        <v>544</v>
      </c>
      <c r="B49" s="70"/>
      <c r="C49" s="211"/>
      <c r="D49" s="941"/>
      <c r="E49" s="942"/>
      <c r="F49" s="15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</row>
    <row r="50" spans="1:82" x14ac:dyDescent="0.2">
      <c r="A50" s="67"/>
      <c r="B50" s="67"/>
      <c r="C50" s="67"/>
      <c r="D50" s="67"/>
      <c r="E50" s="14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</row>
    <row r="51" spans="1:82" ht="15" x14ac:dyDescent="0.25">
      <c r="A51" s="11" t="s">
        <v>545</v>
      </c>
      <c r="B51" s="67"/>
      <c r="C51" s="212"/>
      <c r="D51" s="941"/>
      <c r="E51" s="942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</row>
    <row r="52" spans="1:82" x14ac:dyDescent="0.2">
      <c r="B52" s="370"/>
      <c r="C52" s="370"/>
      <c r="D52" s="369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</row>
    <row r="53" spans="1:82" x14ac:dyDescent="0.2"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</row>
  </sheetData>
  <mergeCells count="7">
    <mergeCell ref="D49:E49"/>
    <mergeCell ref="D51:E51"/>
    <mergeCell ref="A40:F40"/>
    <mergeCell ref="E1:F1"/>
    <mergeCell ref="A2:F2"/>
    <mergeCell ref="A23:F23"/>
    <mergeCell ref="A32:F32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29"/>
  <sheetViews>
    <sheetView view="pageBreakPreview" topLeftCell="A7" zoomScale="60" zoomScaleNormal="100" workbookViewId="0">
      <selection activeCell="A73" sqref="A73:XFD75"/>
    </sheetView>
  </sheetViews>
  <sheetFormatPr defaultColWidth="9.140625" defaultRowHeight="12.75" x14ac:dyDescent="0.2"/>
  <cols>
    <col min="1" max="1" width="27.7109375" style="59" customWidth="1"/>
    <col min="2" max="2" width="10.85546875" style="59" customWidth="1"/>
    <col min="3" max="3" width="13.42578125" style="11" customWidth="1"/>
    <col min="4" max="4" width="13.5703125" style="11" customWidth="1"/>
    <col min="5" max="5" width="10.28515625" style="11" customWidth="1"/>
    <col min="6" max="6" width="9.42578125" style="11" hidden="1" customWidth="1"/>
    <col min="7" max="7" width="15.42578125" style="11" customWidth="1"/>
    <col min="8" max="8" width="10.85546875" style="11" customWidth="1"/>
    <col min="9" max="9" width="11.7109375" style="11" bestFit="1" customWidth="1"/>
    <col min="10" max="16384" width="9.140625" style="11"/>
  </cols>
  <sheetData>
    <row r="1" spans="1:9" x14ac:dyDescent="0.2">
      <c r="F1" s="996" t="s">
        <v>261</v>
      </c>
      <c r="G1" s="996"/>
    </row>
    <row r="2" spans="1:9" ht="15.75" x14ac:dyDescent="0.25">
      <c r="A2" s="1010" t="s">
        <v>175</v>
      </c>
      <c r="B2" s="1010"/>
      <c r="C2" s="1010"/>
      <c r="D2" s="1010"/>
      <c r="E2" s="1010"/>
      <c r="F2" s="1010"/>
      <c r="G2" s="1010"/>
    </row>
    <row r="4" spans="1:9" ht="13.5" thickBot="1" x14ac:dyDescent="0.25"/>
    <row r="5" spans="1:9" s="12" customFormat="1" ht="76.5" x14ac:dyDescent="0.2">
      <c r="A5" s="434"/>
      <c r="B5" s="442" t="s">
        <v>174</v>
      </c>
      <c r="C5" s="374" t="s">
        <v>151</v>
      </c>
      <c r="D5" s="374" t="s">
        <v>173</v>
      </c>
      <c r="E5" s="441" t="s">
        <v>91</v>
      </c>
      <c r="F5" s="374"/>
      <c r="G5" s="374" t="s">
        <v>172</v>
      </c>
      <c r="H5" s="440" t="s">
        <v>404</v>
      </c>
      <c r="I5" s="439" t="s">
        <v>172</v>
      </c>
    </row>
    <row r="6" spans="1:9" x14ac:dyDescent="0.2">
      <c r="A6" s="22" t="s">
        <v>171</v>
      </c>
      <c r="B6" s="159" t="s">
        <v>163</v>
      </c>
      <c r="C6" s="270"/>
      <c r="D6" s="270"/>
      <c r="E6" s="270"/>
      <c r="F6" s="270"/>
      <c r="G6" s="437">
        <f t="shared" ref="G6:G19" si="0">ROUND(C6*D6*E6,2)</f>
        <v>0</v>
      </c>
      <c r="H6" s="270">
        <v>1</v>
      </c>
      <c r="I6" s="267">
        <f t="shared" ref="I6:I22" si="1">ROUND(G6*H6,2)</f>
        <v>0</v>
      </c>
    </row>
    <row r="7" spans="1:9" x14ac:dyDescent="0.2">
      <c r="A7" s="22" t="s">
        <v>171</v>
      </c>
      <c r="B7" s="159" t="s">
        <v>163</v>
      </c>
      <c r="C7" s="270"/>
      <c r="D7" s="270"/>
      <c r="E7" s="270"/>
      <c r="F7" s="270"/>
      <c r="G7" s="437">
        <f t="shared" si="0"/>
        <v>0</v>
      </c>
      <c r="H7" s="270">
        <v>1</v>
      </c>
      <c r="I7" s="267">
        <f t="shared" si="1"/>
        <v>0</v>
      </c>
    </row>
    <row r="8" spans="1:9" x14ac:dyDescent="0.2">
      <c r="A8" s="22" t="s">
        <v>170</v>
      </c>
      <c r="B8" s="159" t="s">
        <v>163</v>
      </c>
      <c r="C8" s="270"/>
      <c r="D8" s="270"/>
      <c r="E8" s="270"/>
      <c r="F8" s="270"/>
      <c r="G8" s="283">
        <f t="shared" si="0"/>
        <v>0</v>
      </c>
      <c r="H8" s="270">
        <v>1</v>
      </c>
      <c r="I8" s="267">
        <f t="shared" si="1"/>
        <v>0</v>
      </c>
    </row>
    <row r="9" spans="1:9" x14ac:dyDescent="0.2">
      <c r="A9" s="22" t="s">
        <v>170</v>
      </c>
      <c r="B9" s="159" t="s">
        <v>163</v>
      </c>
      <c r="C9" s="438"/>
      <c r="D9" s="270"/>
      <c r="E9" s="270"/>
      <c r="F9" s="270"/>
      <c r="G9" s="283">
        <f t="shared" si="0"/>
        <v>0</v>
      </c>
      <c r="H9" s="270">
        <v>1</v>
      </c>
      <c r="I9" s="267">
        <f t="shared" si="1"/>
        <v>0</v>
      </c>
    </row>
    <row r="10" spans="1:9" x14ac:dyDescent="0.2">
      <c r="A10" s="22" t="s">
        <v>403</v>
      </c>
      <c r="B10" s="159" t="s">
        <v>163</v>
      </c>
      <c r="C10" s="270"/>
      <c r="D10" s="270"/>
      <c r="E10" s="270"/>
      <c r="F10" s="270"/>
      <c r="G10" s="437">
        <f t="shared" si="0"/>
        <v>0</v>
      </c>
      <c r="H10" s="270">
        <v>1</v>
      </c>
      <c r="I10" s="267">
        <f t="shared" si="1"/>
        <v>0</v>
      </c>
    </row>
    <row r="11" spans="1:9" x14ac:dyDescent="0.2">
      <c r="A11" s="22" t="s">
        <v>403</v>
      </c>
      <c r="B11" s="159" t="s">
        <v>163</v>
      </c>
      <c r="C11" s="270"/>
      <c r="D11" s="270"/>
      <c r="E11" s="270"/>
      <c r="F11" s="270"/>
      <c r="G11" s="437">
        <f t="shared" si="0"/>
        <v>0</v>
      </c>
      <c r="H11" s="270">
        <v>1</v>
      </c>
      <c r="I11" s="267">
        <f t="shared" si="1"/>
        <v>0</v>
      </c>
    </row>
    <row r="12" spans="1:9" x14ac:dyDescent="0.2">
      <c r="A12" s="22" t="s">
        <v>403</v>
      </c>
      <c r="B12" s="159" t="s">
        <v>167</v>
      </c>
      <c r="C12" s="270"/>
      <c r="D12" s="270"/>
      <c r="E12" s="270"/>
      <c r="F12" s="270"/>
      <c r="G12" s="437">
        <f t="shared" si="0"/>
        <v>0</v>
      </c>
      <c r="H12" s="270">
        <v>1</v>
      </c>
      <c r="I12" s="267">
        <f t="shared" si="1"/>
        <v>0</v>
      </c>
    </row>
    <row r="13" spans="1:9" x14ac:dyDescent="0.2">
      <c r="A13" s="22" t="s">
        <v>403</v>
      </c>
      <c r="B13" s="159" t="s">
        <v>167</v>
      </c>
      <c r="C13" s="270"/>
      <c r="D13" s="270"/>
      <c r="E13" s="270"/>
      <c r="F13" s="270"/>
      <c r="G13" s="437">
        <f t="shared" si="0"/>
        <v>0</v>
      </c>
      <c r="H13" s="270">
        <v>1</v>
      </c>
      <c r="I13" s="267">
        <f t="shared" si="1"/>
        <v>0</v>
      </c>
    </row>
    <row r="14" spans="1:9" x14ac:dyDescent="0.2">
      <c r="A14" s="22" t="s">
        <v>403</v>
      </c>
      <c r="B14" s="159" t="s">
        <v>167</v>
      </c>
      <c r="C14" s="270"/>
      <c r="D14" s="270"/>
      <c r="E14" s="270"/>
      <c r="F14" s="270"/>
      <c r="G14" s="437">
        <f t="shared" si="0"/>
        <v>0</v>
      </c>
      <c r="H14" s="270">
        <v>1</v>
      </c>
      <c r="I14" s="267">
        <f t="shared" si="1"/>
        <v>0</v>
      </c>
    </row>
    <row r="15" spans="1:9" x14ac:dyDescent="0.2">
      <c r="A15" s="22" t="s">
        <v>403</v>
      </c>
      <c r="B15" s="159" t="s">
        <v>167</v>
      </c>
      <c r="C15" s="270"/>
      <c r="D15" s="270"/>
      <c r="E15" s="270"/>
      <c r="F15" s="270"/>
      <c r="G15" s="437">
        <f t="shared" si="0"/>
        <v>0</v>
      </c>
      <c r="H15" s="270">
        <v>1</v>
      </c>
      <c r="I15" s="267">
        <f t="shared" si="1"/>
        <v>0</v>
      </c>
    </row>
    <row r="16" spans="1:9" x14ac:dyDescent="0.2">
      <c r="A16" s="32" t="s">
        <v>168</v>
      </c>
      <c r="B16" s="270" t="s">
        <v>167</v>
      </c>
      <c r="C16" s="270"/>
      <c r="D16" s="270"/>
      <c r="E16" s="270"/>
      <c r="F16" s="270"/>
      <c r="G16" s="437">
        <f t="shared" si="0"/>
        <v>0</v>
      </c>
      <c r="H16" s="270">
        <v>1</v>
      </c>
      <c r="I16" s="267">
        <f t="shared" si="1"/>
        <v>0</v>
      </c>
    </row>
    <row r="17" spans="1:82" x14ac:dyDescent="0.2">
      <c r="A17" s="32" t="s">
        <v>168</v>
      </c>
      <c r="B17" s="270" t="s">
        <v>167</v>
      </c>
      <c r="C17" s="270"/>
      <c r="D17" s="270"/>
      <c r="E17" s="270"/>
      <c r="F17" s="270"/>
      <c r="G17" s="437">
        <f t="shared" si="0"/>
        <v>0</v>
      </c>
      <c r="H17" s="270">
        <v>1</v>
      </c>
      <c r="I17" s="267">
        <f t="shared" si="1"/>
        <v>0</v>
      </c>
    </row>
    <row r="18" spans="1:82" x14ac:dyDescent="0.2">
      <c r="A18" s="32" t="s">
        <v>402</v>
      </c>
      <c r="B18" s="270" t="s">
        <v>167</v>
      </c>
      <c r="C18" s="270"/>
      <c r="D18" s="270"/>
      <c r="E18" s="270"/>
      <c r="F18" s="270"/>
      <c r="G18" s="437">
        <f t="shared" si="0"/>
        <v>0</v>
      </c>
      <c r="H18" s="270">
        <v>1</v>
      </c>
      <c r="I18" s="267">
        <f t="shared" si="1"/>
        <v>0</v>
      </c>
    </row>
    <row r="19" spans="1:82" x14ac:dyDescent="0.2">
      <c r="A19" s="32" t="s">
        <v>402</v>
      </c>
      <c r="B19" s="270" t="s">
        <v>167</v>
      </c>
      <c r="C19" s="270"/>
      <c r="D19" s="270"/>
      <c r="E19" s="270"/>
      <c r="F19" s="270"/>
      <c r="G19" s="437">
        <f t="shared" si="0"/>
        <v>0</v>
      </c>
      <c r="H19" s="270">
        <v>1</v>
      </c>
      <c r="I19" s="267">
        <f t="shared" si="1"/>
        <v>0</v>
      </c>
    </row>
    <row r="20" spans="1:82" ht="38.25" x14ac:dyDescent="0.2">
      <c r="A20" s="22" t="s">
        <v>401</v>
      </c>
      <c r="B20" s="270" t="s">
        <v>165</v>
      </c>
      <c r="C20" s="270"/>
      <c r="D20" s="270"/>
      <c r="E20" s="270">
        <v>1</v>
      </c>
      <c r="F20" s="270"/>
      <c r="G20" s="437">
        <f>ROUND(D20*E20,2)</f>
        <v>0</v>
      </c>
      <c r="H20" s="270">
        <v>1</v>
      </c>
      <c r="I20" s="267">
        <f t="shared" si="1"/>
        <v>0</v>
      </c>
    </row>
    <row r="21" spans="1:82" ht="38.25" x14ac:dyDescent="0.2">
      <c r="A21" s="22" t="s">
        <v>401</v>
      </c>
      <c r="B21" s="270" t="s">
        <v>165</v>
      </c>
      <c r="C21" s="270">
        <v>1</v>
      </c>
      <c r="D21" s="270"/>
      <c r="E21" s="270">
        <v>1</v>
      </c>
      <c r="F21" s="270"/>
      <c r="G21" s="283">
        <f>ROUND(C21*D21*E21,2)</f>
        <v>0</v>
      </c>
      <c r="H21" s="270">
        <v>1</v>
      </c>
      <c r="I21" s="267">
        <f t="shared" si="1"/>
        <v>0</v>
      </c>
    </row>
    <row r="22" spans="1:82" ht="39" thickBot="1" x14ac:dyDescent="0.25">
      <c r="A22" s="20" t="s">
        <v>164</v>
      </c>
      <c r="B22" s="436" t="s">
        <v>163</v>
      </c>
      <c r="C22" s="284"/>
      <c r="D22" s="284"/>
      <c r="E22" s="284"/>
      <c r="F22" s="284"/>
      <c r="G22" s="285">
        <f>ROUND(C22*D22*E22,2)</f>
        <v>0</v>
      </c>
      <c r="H22" s="270">
        <v>1</v>
      </c>
      <c r="I22" s="286">
        <f t="shared" si="1"/>
        <v>0</v>
      </c>
    </row>
    <row r="23" spans="1:82" x14ac:dyDescent="0.2">
      <c r="I23" s="269"/>
    </row>
    <row r="24" spans="1:82" x14ac:dyDescent="0.2">
      <c r="C24" s="269"/>
      <c r="I24" s="269"/>
    </row>
    <row r="25" spans="1:82" ht="15" x14ac:dyDescent="0.25">
      <c r="A25" s="15" t="s">
        <v>544</v>
      </c>
      <c r="B25" s="70"/>
      <c r="C25" s="211"/>
      <c r="D25" s="941"/>
      <c r="E25" s="942"/>
      <c r="F25" s="15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</row>
    <row r="26" spans="1:82" x14ac:dyDescent="0.2">
      <c r="A26" s="67"/>
      <c r="B26" s="67"/>
      <c r="C26" s="67"/>
      <c r="D26" s="67"/>
      <c r="E26" s="14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</row>
    <row r="27" spans="1:82" ht="15" x14ac:dyDescent="0.25">
      <c r="A27" s="11" t="s">
        <v>545</v>
      </c>
      <c r="B27" s="67"/>
      <c r="C27" s="212"/>
      <c r="D27" s="941"/>
      <c r="E27" s="942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</row>
    <row r="28" spans="1:82" x14ac:dyDescent="0.2">
      <c r="C28" s="269"/>
    </row>
    <row r="29" spans="1:82" x14ac:dyDescent="0.2">
      <c r="A29" s="65"/>
      <c r="B29" s="65"/>
      <c r="C29" s="65"/>
      <c r="D29" s="65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</row>
  </sheetData>
  <mergeCells count="4">
    <mergeCell ref="A2:G2"/>
    <mergeCell ref="F1:G1"/>
    <mergeCell ref="D25:E25"/>
    <mergeCell ref="D27:E27"/>
  </mergeCells>
  <pageMargins left="0" right="0" top="0.74803149606299213" bottom="0.74803149606299213" header="0.31496062992125984" footer="0.31496062992125984"/>
  <pageSetup paperSize="9" scale="8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29"/>
  <sheetViews>
    <sheetView view="pageBreakPreview" zoomScaleNormal="100" zoomScaleSheetLayoutView="100" workbookViewId="0">
      <selection activeCell="A73" sqref="A73:XFD75"/>
    </sheetView>
  </sheetViews>
  <sheetFormatPr defaultColWidth="9.140625" defaultRowHeight="12.75" x14ac:dyDescent="0.2"/>
  <cols>
    <col min="1" max="1" width="25.7109375" style="11" customWidth="1"/>
    <col min="2" max="2" width="18" style="11" customWidth="1"/>
    <col min="3" max="3" width="21.140625" style="11" customWidth="1"/>
    <col min="4" max="4" width="18.7109375" style="11" customWidth="1"/>
    <col min="5" max="5" width="13" style="11" customWidth="1"/>
    <col min="6" max="6" width="13.28515625" style="11" customWidth="1"/>
    <col min="7" max="16384" width="9.140625" style="11"/>
  </cols>
  <sheetData>
    <row r="1" spans="1:82" x14ac:dyDescent="0.2">
      <c r="D1" s="11" t="s">
        <v>180</v>
      </c>
      <c r="E1" s="996"/>
      <c r="F1" s="996"/>
    </row>
    <row r="2" spans="1:82" ht="18.75" x14ac:dyDescent="0.3">
      <c r="A2" s="1001" t="s">
        <v>179</v>
      </c>
      <c r="B2" s="996"/>
      <c r="C2" s="996"/>
      <c r="D2" s="996"/>
    </row>
    <row r="3" spans="1:82" ht="18.75" x14ac:dyDescent="0.3">
      <c r="A3" s="368"/>
      <c r="B3" s="367"/>
      <c r="C3" s="367"/>
      <c r="D3" s="367"/>
    </row>
    <row r="4" spans="1:82" ht="19.5" thickBot="1" x14ac:dyDescent="0.35">
      <c r="A4" s="368"/>
      <c r="B4" s="367"/>
      <c r="C4" s="367"/>
      <c r="D4" s="367"/>
    </row>
    <row r="5" spans="1:82" s="12" customFormat="1" ht="48" customHeight="1" x14ac:dyDescent="0.2">
      <c r="A5" s="25"/>
      <c r="B5" s="374" t="s">
        <v>408</v>
      </c>
      <c r="C5" s="459" t="s">
        <v>407</v>
      </c>
      <c r="D5" s="373" t="s">
        <v>179</v>
      </c>
    </row>
    <row r="6" spans="1:82" x14ac:dyDescent="0.2">
      <c r="A6" s="32" t="s">
        <v>178</v>
      </c>
      <c r="B6" s="403"/>
      <c r="C6" s="457">
        <v>2.1999999999999999E-2</v>
      </c>
      <c r="D6" s="406">
        <f>ROUND(B6*C6,0)</f>
        <v>0</v>
      </c>
    </row>
    <row r="7" spans="1:82" x14ac:dyDescent="0.2">
      <c r="A7" s="32" t="s">
        <v>406</v>
      </c>
      <c r="B7" s="458"/>
      <c r="C7" s="457">
        <v>1.4999999999999999E-2</v>
      </c>
      <c r="D7" s="406">
        <f>ROUND(B7*C7,0)</f>
        <v>0</v>
      </c>
    </row>
    <row r="8" spans="1:82" x14ac:dyDescent="0.2">
      <c r="A8" s="32" t="s">
        <v>406</v>
      </c>
      <c r="B8" s="458"/>
      <c r="C8" s="457">
        <v>1.4999999999999999E-2</v>
      </c>
      <c r="D8" s="406">
        <f>ROUND(B8*C8,0)</f>
        <v>0</v>
      </c>
    </row>
    <row r="9" spans="1:82" x14ac:dyDescent="0.2">
      <c r="A9" s="32"/>
      <c r="B9" s="433"/>
      <c r="C9" s="457"/>
      <c r="D9" s="406"/>
    </row>
    <row r="10" spans="1:82" x14ac:dyDescent="0.2">
      <c r="A10" s="32"/>
      <c r="B10" s="433"/>
      <c r="C10" s="457"/>
      <c r="D10" s="406"/>
    </row>
    <row r="11" spans="1:82" ht="13.5" thickBot="1" x14ac:dyDescent="0.25">
      <c r="A11" s="30"/>
      <c r="B11" s="432"/>
      <c r="C11" s="432"/>
      <c r="D11" s="405"/>
    </row>
    <row r="13" spans="1:82" ht="15" x14ac:dyDescent="0.25">
      <c r="A13" s="15" t="s">
        <v>544</v>
      </c>
      <c r="B13" s="70"/>
      <c r="C13" s="211"/>
      <c r="D13" s="941"/>
      <c r="E13" s="942"/>
      <c r="F13" s="15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</row>
    <row r="14" spans="1:82" x14ac:dyDescent="0.2">
      <c r="A14" s="67"/>
      <c r="B14" s="67"/>
      <c r="C14" s="67"/>
      <c r="D14" s="67"/>
      <c r="E14" s="14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</row>
    <row r="15" spans="1:82" ht="15" x14ac:dyDescent="0.25">
      <c r="A15" s="11" t="s">
        <v>545</v>
      </c>
      <c r="B15" s="67"/>
      <c r="C15" s="212"/>
      <c r="D15" s="941"/>
      <c r="E15" s="942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</row>
    <row r="16" spans="1:82" x14ac:dyDescent="0.2">
      <c r="A16" s="59"/>
      <c r="B16" s="59"/>
      <c r="C16" s="269"/>
    </row>
    <row r="18" spans="1:82" s="356" customFormat="1" ht="15" hidden="1" customHeight="1" x14ac:dyDescent="0.2">
      <c r="A18" s="1047" t="s">
        <v>175</v>
      </c>
      <c r="B18" s="1047"/>
      <c r="C18" s="1047"/>
      <c r="D18" s="1047"/>
      <c r="E18" s="1047"/>
      <c r="F18" s="1047"/>
      <c r="G18" s="456"/>
    </row>
    <row r="19" spans="1:82" s="356" customFormat="1" hidden="1" x14ac:dyDescent="0.2"/>
    <row r="20" spans="1:82" s="356" customFormat="1" hidden="1" x14ac:dyDescent="0.2"/>
    <row r="21" spans="1:82" s="356" customFormat="1" ht="76.5" hidden="1" x14ac:dyDescent="0.2">
      <c r="A21" s="455"/>
      <c r="B21" s="454" t="s">
        <v>174</v>
      </c>
      <c r="C21" s="453" t="s">
        <v>151</v>
      </c>
      <c r="D21" s="453" t="s">
        <v>173</v>
      </c>
      <c r="E21" s="452" t="s">
        <v>405</v>
      </c>
      <c r="F21" s="451" t="s">
        <v>172</v>
      </c>
    </row>
    <row r="22" spans="1:82" s="356" customFormat="1" hidden="1" x14ac:dyDescent="0.2">
      <c r="A22" s="352" t="s">
        <v>168</v>
      </c>
      <c r="B22" s="353" t="s">
        <v>167</v>
      </c>
      <c r="C22" s="449">
        <f>'прил.5 фок'!C16</f>
        <v>0</v>
      </c>
      <c r="D22" s="449">
        <f>'прил.5 фок'!D16</f>
        <v>0</v>
      </c>
      <c r="E22" s="448">
        <v>0</v>
      </c>
      <c r="F22" s="447">
        <f>'прил.5 фок'!G16-'прил.5 фок'!I16</f>
        <v>0</v>
      </c>
    </row>
    <row r="23" spans="1:82" s="356" customFormat="1" hidden="1" x14ac:dyDescent="0.2">
      <c r="A23" s="352" t="s">
        <v>168</v>
      </c>
      <c r="B23" s="353" t="s">
        <v>167</v>
      </c>
      <c r="C23" s="449">
        <f>'прил.5 фок'!C17</f>
        <v>0</v>
      </c>
      <c r="D23" s="449">
        <f>'прил.5 фок'!D17</f>
        <v>0</v>
      </c>
      <c r="E23" s="448">
        <v>0</v>
      </c>
      <c r="F23" s="447">
        <f>'прил.5 фок'!G17-'прил.5 фок'!I17</f>
        <v>0</v>
      </c>
    </row>
    <row r="24" spans="1:82" s="356" customFormat="1" hidden="1" x14ac:dyDescent="0.2">
      <c r="A24" s="352" t="s">
        <v>168</v>
      </c>
      <c r="B24" s="353" t="s">
        <v>167</v>
      </c>
      <c r="C24" s="449">
        <f>'прил.5 фок'!C18</f>
        <v>0</v>
      </c>
      <c r="D24" s="449">
        <f>'прил.5 фок'!D18</f>
        <v>0</v>
      </c>
      <c r="E24" s="448">
        <v>0</v>
      </c>
      <c r="F24" s="447">
        <f>'прил.5 фок'!G18-'прил.5 фок'!I18</f>
        <v>0</v>
      </c>
    </row>
    <row r="25" spans="1:82" s="356" customFormat="1" hidden="1" x14ac:dyDescent="0.2">
      <c r="A25" s="352" t="s">
        <v>168</v>
      </c>
      <c r="B25" s="353" t="s">
        <v>167</v>
      </c>
      <c r="C25" s="449">
        <f>'прил.5 фок'!C19</f>
        <v>0</v>
      </c>
      <c r="D25" s="449">
        <f>'прил.5 фок'!D19</f>
        <v>0</v>
      </c>
      <c r="E25" s="448">
        <v>0</v>
      </c>
      <c r="F25" s="447">
        <f>'прил.5 фок'!G19-'прил.5 фок'!I19</f>
        <v>0</v>
      </c>
    </row>
    <row r="26" spans="1:82" s="356" customFormat="1" ht="38.25" hidden="1" x14ac:dyDescent="0.2">
      <c r="A26" s="450" t="s">
        <v>401</v>
      </c>
      <c r="B26" s="353" t="s">
        <v>165</v>
      </c>
      <c r="C26" s="449">
        <f>'прил.5 фок'!C21</f>
        <v>1</v>
      </c>
      <c r="D26" s="449">
        <f>'прил.5 фок'!D20</f>
        <v>0</v>
      </c>
      <c r="E26" s="448">
        <v>0</v>
      </c>
      <c r="F26" s="447">
        <f>'прил.5 фок'!G20-'прил.5 фок'!I20</f>
        <v>0</v>
      </c>
    </row>
    <row r="27" spans="1:82" s="356" customFormat="1" ht="39" hidden="1" thickBot="1" x14ac:dyDescent="0.25">
      <c r="A27" s="446" t="s">
        <v>401</v>
      </c>
      <c r="B27" s="358" t="s">
        <v>165</v>
      </c>
      <c r="C27" s="445">
        <f>'прил.5 фок'!C22</f>
        <v>0</v>
      </c>
      <c r="D27" s="445">
        <f>'прил.5 фок'!D21</f>
        <v>0</v>
      </c>
      <c r="E27" s="444">
        <v>0</v>
      </c>
      <c r="F27" s="443">
        <f>'прил.5 фок'!G21-'прил.5 фок'!I21</f>
        <v>0</v>
      </c>
    </row>
    <row r="28" spans="1:82" s="345" customFormat="1" hidden="1" x14ac:dyDescent="0.2"/>
    <row r="29" spans="1:82" x14ac:dyDescent="0.2">
      <c r="A29" s="65"/>
      <c r="B29" s="65"/>
      <c r="C29" s="65"/>
      <c r="D29" s="65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</row>
  </sheetData>
  <mergeCells count="5">
    <mergeCell ref="A2:D2"/>
    <mergeCell ref="E1:F1"/>
    <mergeCell ref="A18:F18"/>
    <mergeCell ref="D13:E13"/>
    <mergeCell ref="D15:E15"/>
  </mergeCells>
  <pageMargins left="0.7" right="0.7" top="0.75" bottom="0.75" header="0.3" footer="0.3"/>
  <pageSetup paperSize="9" scale="7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CE132"/>
  <sheetViews>
    <sheetView view="pageBreakPreview" topLeftCell="A97" zoomScale="90" zoomScaleNormal="90" zoomScaleSheetLayoutView="90" workbookViewId="0">
      <selection activeCell="A73" sqref="A73:XFD75"/>
    </sheetView>
  </sheetViews>
  <sheetFormatPr defaultColWidth="9.140625" defaultRowHeight="12.75" x14ac:dyDescent="0.2"/>
  <cols>
    <col min="1" max="1" width="38.140625" style="11" customWidth="1"/>
    <col min="2" max="2" width="4.7109375" style="11" customWidth="1"/>
    <col min="3" max="3" width="0.28515625" style="11" hidden="1" customWidth="1"/>
    <col min="4" max="4" width="29" style="11" hidden="1" customWidth="1"/>
    <col min="5" max="5" width="10.140625" style="11" hidden="1" customWidth="1"/>
    <col min="6" max="6" width="21.28515625" style="11" customWidth="1"/>
    <col min="7" max="7" width="22.85546875" style="13" customWidth="1"/>
    <col min="8" max="8" width="10.140625" style="13" hidden="1" customWidth="1"/>
    <col min="9" max="9" width="18.85546875" style="13" hidden="1" customWidth="1"/>
    <col min="10" max="10" width="23.42578125" style="13" hidden="1" customWidth="1"/>
    <col min="11" max="83" width="9.140625" style="13"/>
    <col min="84" max="16384" width="9.140625" style="11"/>
  </cols>
  <sheetData>
    <row r="1" spans="1:10" ht="42.75" customHeight="1" x14ac:dyDescent="0.3">
      <c r="A1" s="1048" t="s">
        <v>217</v>
      </c>
      <c r="B1" s="1048"/>
      <c r="C1" s="1048"/>
      <c r="D1" s="1048"/>
      <c r="E1" s="1048"/>
      <c r="F1" s="1048"/>
      <c r="G1" s="1048"/>
      <c r="H1" s="1048"/>
      <c r="I1" s="1048"/>
      <c r="J1" s="1048"/>
    </row>
    <row r="2" spans="1:10" ht="12" customHeight="1" x14ac:dyDescent="0.3">
      <c r="A2" s="1065"/>
      <c r="B2" s="1065"/>
      <c r="C2" s="1065"/>
      <c r="D2" s="1065"/>
      <c r="E2" s="1065"/>
      <c r="F2" s="1065"/>
      <c r="G2" s="1065"/>
      <c r="H2" s="1065"/>
      <c r="I2" s="1065"/>
      <c r="J2" s="1065"/>
    </row>
    <row r="3" spans="1:10" ht="37.5" customHeight="1" x14ac:dyDescent="0.25">
      <c r="A3" s="1066" t="s">
        <v>449</v>
      </c>
      <c r="B3" s="1066"/>
      <c r="C3" s="1066"/>
      <c r="D3" s="1066"/>
      <c r="E3" s="1066"/>
      <c r="F3" s="1066"/>
      <c r="G3" s="1066"/>
      <c r="H3" s="1066"/>
      <c r="I3" s="1066"/>
      <c r="J3" s="1066"/>
    </row>
    <row r="4" spans="1:10" ht="12.75" customHeight="1" x14ac:dyDescent="0.25">
      <c r="A4" s="574"/>
      <c r="B4" s="574"/>
      <c r="C4" s="574"/>
      <c r="D4" s="574"/>
      <c r="E4" s="574"/>
      <c r="F4" s="574"/>
    </row>
    <row r="5" spans="1:10" ht="108" customHeight="1" x14ac:dyDescent="0.2">
      <c r="A5" s="1073" t="s">
        <v>448</v>
      </c>
      <c r="B5" s="1074"/>
      <c r="C5" s="1074"/>
      <c r="D5" s="1074"/>
      <c r="E5" s="1074"/>
      <c r="F5" s="1075"/>
      <c r="G5" s="573" t="s">
        <v>447</v>
      </c>
      <c r="H5" s="573"/>
      <c r="I5" s="573" t="s">
        <v>446</v>
      </c>
      <c r="J5" s="572" t="s">
        <v>445</v>
      </c>
    </row>
    <row r="7" spans="1:10" ht="36.75" customHeight="1" x14ac:dyDescent="0.2">
      <c r="A7" s="1049" t="s">
        <v>444</v>
      </c>
      <c r="B7" s="1049"/>
      <c r="C7" s="1049"/>
      <c r="D7" s="1049"/>
      <c r="E7" s="1049"/>
      <c r="F7" s="1049"/>
      <c r="G7" s="1049"/>
      <c r="H7" s="1049"/>
      <c r="I7" s="1049"/>
      <c r="J7" s="1049"/>
    </row>
    <row r="8" spans="1:10" ht="31.5" customHeight="1" x14ac:dyDescent="0.3">
      <c r="A8" s="159" t="s">
        <v>215</v>
      </c>
      <c r="B8" s="157"/>
      <c r="C8" s="157"/>
      <c r="D8" s="571">
        <f>G8</f>
        <v>0</v>
      </c>
      <c r="E8" s="157"/>
      <c r="F8" s="570"/>
      <c r="G8" s="590">
        <f>'проверка 2020'!P4</f>
        <v>0</v>
      </c>
      <c r="H8" s="569"/>
      <c r="I8" s="569">
        <f>[2]проверка!D18</f>
        <v>0</v>
      </c>
      <c r="J8" s="569"/>
    </row>
    <row r="9" spans="1:10" ht="40.5" customHeight="1" thickBot="1" x14ac:dyDescent="0.25">
      <c r="A9" s="1063" t="s">
        <v>216</v>
      </c>
      <c r="B9" s="1063"/>
      <c r="C9" s="1063"/>
      <c r="D9" s="1063"/>
      <c r="E9" s="1063"/>
      <c r="F9" s="1063"/>
      <c r="G9" s="1063"/>
      <c r="H9" s="1063"/>
      <c r="I9" s="1063"/>
      <c r="J9" s="1064"/>
    </row>
    <row r="10" spans="1:10" ht="69.75" customHeight="1" thickBot="1" x14ac:dyDescent="0.25">
      <c r="A10" s="568" t="s">
        <v>214</v>
      </c>
      <c r="B10" s="567" t="s">
        <v>213</v>
      </c>
      <c r="C10" s="567" t="s">
        <v>92</v>
      </c>
      <c r="D10" s="567" t="s">
        <v>212</v>
      </c>
      <c r="E10" s="567" t="s">
        <v>91</v>
      </c>
      <c r="F10" s="566" t="s">
        <v>211</v>
      </c>
      <c r="G10" s="565" t="s">
        <v>212</v>
      </c>
      <c r="H10" s="565"/>
      <c r="I10" s="565" t="s">
        <v>212</v>
      </c>
      <c r="J10" s="565" t="s">
        <v>212</v>
      </c>
    </row>
    <row r="11" spans="1:10" ht="29.25" customHeight="1" thickBot="1" x14ac:dyDescent="0.25">
      <c r="A11" s="935" t="s">
        <v>210</v>
      </c>
      <c r="B11" s="936"/>
      <c r="C11" s="936"/>
      <c r="D11" s="936"/>
      <c r="E11" s="936"/>
      <c r="F11" s="936"/>
      <c r="G11" s="936"/>
      <c r="H11" s="936"/>
      <c r="I11" s="936"/>
      <c r="J11" s="937"/>
    </row>
    <row r="12" spans="1:10" ht="38.25" customHeight="1" x14ac:dyDescent="0.2">
      <c r="A12" s="151" t="s">
        <v>207</v>
      </c>
      <c r="B12" s="101" t="s">
        <v>183</v>
      </c>
      <c r="C12" s="156">
        <v>12</v>
      </c>
      <c r="D12" s="101" t="e">
        <f>ROUND(F12/D8,2)</f>
        <v>#DIV/0!</v>
      </c>
      <c r="E12" s="101"/>
      <c r="F12" s="481">
        <f>'прил.1+2 фок'!G11+'прил.1+2 фок'!G87</f>
        <v>0</v>
      </c>
      <c r="G12" s="479">
        <f>IF(G$8=0,0,D12)</f>
        <v>0</v>
      </c>
      <c r="H12" s="564" t="e">
        <f>'[2]1,2 лагеря'!G8</f>
        <v>#DIV/0!</v>
      </c>
      <c r="I12" s="479" t="e">
        <f>ROUND(H12/$I$8,2)</f>
        <v>#DIV/0!</v>
      </c>
      <c r="J12" s="563"/>
    </row>
    <row r="13" spans="1:10" ht="45" hidden="1" customHeight="1" x14ac:dyDescent="0.2">
      <c r="A13" s="562" t="s">
        <v>207</v>
      </c>
      <c r="B13" s="147" t="s">
        <v>183</v>
      </c>
      <c r="C13" s="147">
        <v>4</v>
      </c>
      <c r="D13" s="561"/>
      <c r="E13" s="147"/>
      <c r="F13" s="560"/>
      <c r="G13" s="559">
        <f>IF(G$8=0,0,D13)</f>
        <v>0</v>
      </c>
      <c r="H13" s="559"/>
      <c r="I13" s="558" t="e">
        <f>ROUND(H13/$I$8,2)</f>
        <v>#DIV/0!</v>
      </c>
      <c r="J13" s="557"/>
    </row>
    <row r="14" spans="1:10" ht="40.5" customHeight="1" x14ac:dyDescent="0.2">
      <c r="A14" s="556" t="s">
        <v>206</v>
      </c>
      <c r="B14" s="236" t="s">
        <v>183</v>
      </c>
      <c r="C14" s="236">
        <v>12</v>
      </c>
      <c r="D14" s="236" t="e">
        <f>ROUND(F14/D8,2)</f>
        <v>#DIV/0!</v>
      </c>
      <c r="E14" s="236"/>
      <c r="F14" s="182">
        <f>'прил.1+2 фок'!H87+'прил.1+2 фок'!H11</f>
        <v>0</v>
      </c>
      <c r="G14" s="476">
        <f>IF(G$8=0,0,D14)</f>
        <v>0</v>
      </c>
      <c r="H14" s="551" t="e">
        <f>'[2]1,2 лагеря'!H8</f>
        <v>#DIV/0!</v>
      </c>
      <c r="I14" s="476" t="e">
        <f>ROUND(H14/$I$8,2)</f>
        <v>#DIV/0!</v>
      </c>
      <c r="J14" s="476"/>
    </row>
    <row r="15" spans="1:10" ht="26.25" customHeight="1" x14ac:dyDescent="0.2">
      <c r="A15" s="149" t="s">
        <v>199</v>
      </c>
      <c r="B15" s="236" t="s">
        <v>183</v>
      </c>
      <c r="C15" s="147">
        <v>12</v>
      </c>
      <c r="D15" s="132" t="e">
        <f>ROUND(F15/D8,2)</f>
        <v>#DIV/0!</v>
      </c>
      <c r="E15" s="236">
        <v>1</v>
      </c>
      <c r="F15" s="475">
        <f>'прил.1+2 фок'!D16+'прил.1+2 фок'!D17</f>
        <v>0</v>
      </c>
      <c r="G15" s="550">
        <f>IF(G$8=0,0,D15)</f>
        <v>0</v>
      </c>
      <c r="H15" s="550"/>
      <c r="I15" s="476" t="e">
        <f>ROUND(H15/$I$8,2)</f>
        <v>#DIV/0!</v>
      </c>
      <c r="J15" s="555">
        <f>IF(J8=0,0,ROUND(([2]прил.1мероп!E20+[2]прил.1мероп!E72+[2]прил.1мероп!E21)/J8,2))</f>
        <v>0</v>
      </c>
    </row>
    <row r="16" spans="1:10" ht="36" customHeight="1" x14ac:dyDescent="0.2">
      <c r="A16" s="149" t="s">
        <v>205</v>
      </c>
      <c r="B16" s="236" t="s">
        <v>183</v>
      </c>
      <c r="C16" s="236"/>
      <c r="D16" s="132" t="e">
        <f>ROUND(F16/D8,2)</f>
        <v>#DIV/0!</v>
      </c>
      <c r="E16" s="236"/>
      <c r="F16" s="475">
        <v>0</v>
      </c>
      <c r="G16" s="476">
        <f>IF(G$8=0,0,D16)</f>
        <v>0</v>
      </c>
      <c r="H16" s="551">
        <f>'[2]1,2 лагеря'!E20+'[2]1,2 лагеря'!F28+'[2]1,2 лагеря'!F36</f>
        <v>0</v>
      </c>
      <c r="I16" s="476" t="e">
        <f>ROUND(H16/$I$8,2)</f>
        <v>#DIV/0!</v>
      </c>
      <c r="J16" s="554"/>
    </row>
    <row r="17" spans="1:83" s="495" customFormat="1" ht="21.75" customHeight="1" thickBot="1" x14ac:dyDescent="0.25">
      <c r="A17" s="553" t="s">
        <v>106</v>
      </c>
      <c r="B17" s="552"/>
      <c r="C17" s="552"/>
      <c r="D17" s="552" t="e">
        <f>ROUND(F17/D8,2)</f>
        <v>#DIV/0!</v>
      </c>
      <c r="E17" s="552"/>
      <c r="F17" s="506">
        <f>SUM(F12:F16)</f>
        <v>0</v>
      </c>
      <c r="G17" s="510">
        <f>SUM(G12:G16)</f>
        <v>0</v>
      </c>
      <c r="H17" s="510" t="e">
        <f>SUM(H12:H16)</f>
        <v>#DIV/0!</v>
      </c>
      <c r="I17" s="510" t="e">
        <f>SUM(I12:I16)</f>
        <v>#DIV/0!</v>
      </c>
      <c r="J17" s="510">
        <f>SUM(J12:J16)</f>
        <v>0</v>
      </c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</row>
    <row r="18" spans="1:83" ht="29.25" customHeight="1" x14ac:dyDescent="0.2">
      <c r="A18" s="1077" t="s">
        <v>443</v>
      </c>
      <c r="B18" s="1077"/>
      <c r="C18" s="1077"/>
      <c r="D18" s="1077"/>
      <c r="E18" s="1077"/>
      <c r="F18" s="1077"/>
      <c r="G18" s="1077"/>
      <c r="H18" s="1077"/>
      <c r="I18" s="1077"/>
      <c r="J18" s="1078"/>
    </row>
    <row r="19" spans="1:83" ht="36" customHeight="1" x14ac:dyDescent="0.2">
      <c r="A19" s="1079" t="s">
        <v>204</v>
      </c>
      <c r="B19" s="1080"/>
      <c r="C19" s="1080"/>
      <c r="D19" s="1080"/>
      <c r="E19" s="1080"/>
      <c r="F19" s="1080"/>
      <c r="G19" s="1081"/>
      <c r="H19" s="1081"/>
      <c r="I19" s="1081"/>
      <c r="J19" s="1082"/>
    </row>
    <row r="20" spans="1:83" ht="43.5" customHeight="1" x14ac:dyDescent="0.2">
      <c r="A20" s="150" t="s">
        <v>201</v>
      </c>
      <c r="B20" s="132" t="s">
        <v>183</v>
      </c>
      <c r="C20" s="132">
        <v>5</v>
      </c>
      <c r="D20" s="132" t="e">
        <f>ROUND(F20/D8,2)</f>
        <v>#DIV/0!</v>
      </c>
      <c r="E20" s="132">
        <v>1</v>
      </c>
      <c r="F20" s="544">
        <f>'прил.1+2 фок'!F50+'прил.1+2 фок'!F99</f>
        <v>0</v>
      </c>
      <c r="G20" s="476">
        <f>IF(G$8=0,0,D20)</f>
        <v>0</v>
      </c>
      <c r="H20" s="551" t="e">
        <f>'[2]1,2 лагеря'!G51</f>
        <v>#DIV/0!</v>
      </c>
      <c r="I20" s="476" t="e">
        <f>ROUND(H20/$I$8,2)</f>
        <v>#DIV/0!</v>
      </c>
      <c r="J20" s="476"/>
    </row>
    <row r="21" spans="1:83" ht="48" hidden="1" customHeight="1" x14ac:dyDescent="0.2">
      <c r="A21" s="150" t="s">
        <v>201</v>
      </c>
      <c r="B21" s="236" t="s">
        <v>183</v>
      </c>
      <c r="C21" s="147">
        <v>4</v>
      </c>
      <c r="D21" s="132"/>
      <c r="E21" s="236"/>
      <c r="F21" s="475"/>
      <c r="G21" s="476">
        <f>IF(G$8=0,0,D21)</f>
        <v>0</v>
      </c>
      <c r="H21" s="476"/>
      <c r="I21" s="476" t="e">
        <f>ROUND(H21/$I$8,2)</f>
        <v>#DIV/0!</v>
      </c>
      <c r="J21" s="476"/>
    </row>
    <row r="22" spans="1:83" ht="44.25" customHeight="1" x14ac:dyDescent="0.2">
      <c r="A22" s="150" t="s">
        <v>200</v>
      </c>
      <c r="B22" s="236" t="s">
        <v>183</v>
      </c>
      <c r="C22" s="147">
        <v>9</v>
      </c>
      <c r="D22" s="132" t="e">
        <f>ROUND(F22/D8,2)</f>
        <v>#DIV/0!</v>
      </c>
      <c r="E22" s="236">
        <v>1</v>
      </c>
      <c r="F22" s="475">
        <f>'прил.1+2 фок'!G99+'прил.1+2 фок'!G50</f>
        <v>0</v>
      </c>
      <c r="G22" s="476">
        <f>IF(G$8=0,0,D22)</f>
        <v>0</v>
      </c>
      <c r="H22" s="551" t="e">
        <f>'[2]1,2 лагеря'!H51</f>
        <v>#DIV/0!</v>
      </c>
      <c r="I22" s="476" t="e">
        <f>ROUND(H22/$I$8,2)</f>
        <v>#DIV/0!</v>
      </c>
      <c r="J22" s="476"/>
    </row>
    <row r="23" spans="1:83" ht="26.25" customHeight="1" x14ac:dyDescent="0.2">
      <c r="A23" s="149" t="s">
        <v>199</v>
      </c>
      <c r="B23" s="236" t="s">
        <v>183</v>
      </c>
      <c r="C23" s="147">
        <v>12</v>
      </c>
      <c r="D23" s="132" t="e">
        <f>ROUND(F23/D8,2)</f>
        <v>#DIV/0!</v>
      </c>
      <c r="E23" s="236">
        <v>1</v>
      </c>
      <c r="F23" s="475">
        <f>'прил.1+2 фок'!D68+'прил.1+2 фок'!D69</f>
        <v>0</v>
      </c>
      <c r="G23" s="550">
        <f>IF(G$8=0,0,D23)</f>
        <v>0</v>
      </c>
      <c r="H23" s="550"/>
      <c r="I23" s="550" t="e">
        <f>ROUND(H23/$I$8,2)</f>
        <v>#DIV/0!</v>
      </c>
      <c r="J23" s="476"/>
    </row>
    <row r="24" spans="1:83" s="495" customFormat="1" ht="26.25" customHeight="1" thickBot="1" x14ac:dyDescent="0.25">
      <c r="A24" s="549" t="s">
        <v>106</v>
      </c>
      <c r="B24" s="541"/>
      <c r="C24" s="541"/>
      <c r="D24" s="540" t="e">
        <f>SUM(D20:D23)</f>
        <v>#DIV/0!</v>
      </c>
      <c r="E24" s="541"/>
      <c r="F24" s="548">
        <f>SUM(F20:F23)</f>
        <v>0</v>
      </c>
      <c r="G24" s="547">
        <f>SUM(G20:G23)</f>
        <v>0</v>
      </c>
      <c r="H24" s="547" t="e">
        <f>SUM(H20:H23)</f>
        <v>#DIV/0!</v>
      </c>
      <c r="I24" s="547" t="e">
        <f>SUM(I20:I23)</f>
        <v>#DIV/0!</v>
      </c>
      <c r="J24" s="547">
        <f>SUM(J20:J23)</f>
        <v>0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</row>
    <row r="25" spans="1:83" ht="21.75" customHeight="1" thickBot="1" x14ac:dyDescent="0.25">
      <c r="A25" s="1050" t="s">
        <v>198</v>
      </c>
      <c r="B25" s="940"/>
      <c r="C25" s="940"/>
      <c r="D25" s="940"/>
      <c r="E25" s="940"/>
      <c r="F25" s="940"/>
      <c r="G25" s="940"/>
      <c r="H25" s="940"/>
      <c r="I25" s="940"/>
      <c r="J25" s="1051"/>
    </row>
    <row r="26" spans="1:83" x14ac:dyDescent="0.2">
      <c r="A26" s="230" t="str">
        <f>'прил.3 фок'!A6</f>
        <v>Услуги по вывозу мусора</v>
      </c>
      <c r="B26" s="132" t="s">
        <v>183</v>
      </c>
      <c r="C26" s="132">
        <v>12</v>
      </c>
      <c r="D26" s="132" t="e">
        <f>ROUND(F26/D8,2)</f>
        <v>#DIV/0!</v>
      </c>
      <c r="E26" s="132"/>
      <c r="F26" s="544">
        <f>'прил.3 фок'!F6</f>
        <v>0</v>
      </c>
      <c r="G26" s="546">
        <f t="shared" ref="G26:G44" si="0">IF(G$8=0,0,D26)</f>
        <v>0</v>
      </c>
      <c r="H26" s="546"/>
      <c r="I26" s="512" t="e">
        <f t="shared" ref="I26:I44" si="1">ROUND(H26/$I$8,2)</f>
        <v>#DIV/0!</v>
      </c>
      <c r="J26" s="546"/>
    </row>
    <row r="27" spans="1:83" ht="13.5" customHeight="1" x14ac:dyDescent="0.2">
      <c r="A27" s="230" t="str">
        <f>'прил.3 фок'!A7</f>
        <v>Услуги тех.обслуживаниекнопки</v>
      </c>
      <c r="B27" s="236" t="s">
        <v>183</v>
      </c>
      <c r="C27" s="236">
        <v>12</v>
      </c>
      <c r="D27" s="132" t="e">
        <f>ROUND(F27/D8,2)</f>
        <v>#DIV/0!</v>
      </c>
      <c r="E27" s="236"/>
      <c r="F27" s="544">
        <f>'прил.3 фок'!F7</f>
        <v>0</v>
      </c>
      <c r="G27" s="512">
        <f t="shared" si="0"/>
        <v>0</v>
      </c>
      <c r="H27" s="545">
        <f>'[2]3лагеря'!F6+'[2]3лагеря'!F11</f>
        <v>0</v>
      </c>
      <c r="I27" s="512" t="e">
        <f t="shared" si="1"/>
        <v>#DIV/0!</v>
      </c>
      <c r="J27" s="512"/>
    </row>
    <row r="28" spans="1:83" x14ac:dyDescent="0.2">
      <c r="A28" s="230" t="str">
        <f>'прил.3 фок'!A8</f>
        <v>Услуги по дератизации,дезинсекци</v>
      </c>
      <c r="B28" s="236" t="s">
        <v>183</v>
      </c>
      <c r="C28" s="236">
        <v>12</v>
      </c>
      <c r="D28" s="132" t="e">
        <f>ROUND(F28/D8,2)</f>
        <v>#DIV/0!</v>
      </c>
      <c r="E28" s="236"/>
      <c r="F28" s="544">
        <f>'прил.3 фок'!F8</f>
        <v>0</v>
      </c>
      <c r="G28" s="512">
        <f t="shared" si="0"/>
        <v>0</v>
      </c>
      <c r="H28" s="512"/>
      <c r="I28" s="512" t="e">
        <f t="shared" si="1"/>
        <v>#DIV/0!</v>
      </c>
      <c r="J28" s="512"/>
    </row>
    <row r="29" spans="1:83" ht="25.5" x14ac:dyDescent="0.2">
      <c r="A29" s="230" t="str">
        <f>'прил.3 фок'!A9</f>
        <v>Услуги тех.обслуживания пожарной сигнализации</v>
      </c>
      <c r="B29" s="236" t="s">
        <v>183</v>
      </c>
      <c r="C29" s="236">
        <v>12</v>
      </c>
      <c r="D29" s="132" t="e">
        <f>ROUND(F29/D8,2)</f>
        <v>#DIV/0!</v>
      </c>
      <c r="E29" s="236"/>
      <c r="F29" s="544">
        <f>'прил.3 фок'!F9</f>
        <v>0</v>
      </c>
      <c r="G29" s="512">
        <f t="shared" si="0"/>
        <v>0</v>
      </c>
      <c r="H29" s="512"/>
      <c r="I29" s="512" t="e">
        <f t="shared" si="1"/>
        <v>#DIV/0!</v>
      </c>
      <c r="J29" s="512"/>
    </row>
    <row r="30" spans="1:83" x14ac:dyDescent="0.2">
      <c r="A30" s="230" t="str">
        <f>'прил.3 фок'!A10</f>
        <v>Услуги тех.обслуживания кнопки</v>
      </c>
      <c r="B30" s="236" t="s">
        <v>183</v>
      </c>
      <c r="C30" s="236">
        <v>12</v>
      </c>
      <c r="D30" s="132" t="e">
        <f>ROUND(F30/D8,2)</f>
        <v>#DIV/0!</v>
      </c>
      <c r="E30" s="236"/>
      <c r="F30" s="544">
        <f>'прил.3 фок'!F10</f>
        <v>0</v>
      </c>
      <c r="G30" s="512">
        <f t="shared" si="0"/>
        <v>0</v>
      </c>
      <c r="H30" s="512"/>
      <c r="I30" s="512" t="e">
        <f t="shared" si="1"/>
        <v>#DIV/0!</v>
      </c>
      <c r="J30" s="512"/>
    </row>
    <row r="31" spans="1:83" x14ac:dyDescent="0.2">
      <c r="A31" s="230" t="str">
        <f>'прил.3 фок'!A11</f>
        <v>Утилизация ртутосодержащих отходов</v>
      </c>
      <c r="B31" s="236" t="s">
        <v>183</v>
      </c>
      <c r="C31" s="236">
        <v>12</v>
      </c>
      <c r="D31" s="132" t="e">
        <f>ROUND(F31/D8,2)</f>
        <v>#DIV/0!</v>
      </c>
      <c r="E31" s="236"/>
      <c r="F31" s="544">
        <f>'прил.3 фок'!F11</f>
        <v>0</v>
      </c>
      <c r="G31" s="512">
        <f t="shared" si="0"/>
        <v>0</v>
      </c>
      <c r="H31" s="545">
        <f>'[2]3лагеря'!F1</f>
        <v>0</v>
      </c>
      <c r="I31" s="512" t="e">
        <f t="shared" si="1"/>
        <v>#DIV/0!</v>
      </c>
      <c r="J31" s="512"/>
    </row>
    <row r="32" spans="1:83" x14ac:dyDescent="0.2">
      <c r="A32" s="230" t="str">
        <f>'прил.3 фок'!A12</f>
        <v>Тревожная кнопка</v>
      </c>
      <c r="B32" s="236" t="s">
        <v>183</v>
      </c>
      <c r="C32" s="236">
        <v>12</v>
      </c>
      <c r="D32" s="132" t="e">
        <f>ROUND(F32/D8,2)</f>
        <v>#DIV/0!</v>
      </c>
      <c r="E32" s="236"/>
      <c r="F32" s="544">
        <f>'прил.3 фок'!F12</f>
        <v>0</v>
      </c>
      <c r="G32" s="512">
        <f t="shared" si="0"/>
        <v>0</v>
      </c>
      <c r="H32" s="545">
        <f>'[2]3лагеря'!F2</f>
        <v>0</v>
      </c>
      <c r="I32" s="512" t="e">
        <f t="shared" si="1"/>
        <v>#DIV/0!</v>
      </c>
      <c r="J32" s="512"/>
    </row>
    <row r="33" spans="1:83" x14ac:dyDescent="0.2">
      <c r="A33" s="230" t="str">
        <f>'прил.3 фок'!A13</f>
        <v>Услуги тех.обслуживания радиомодема</v>
      </c>
      <c r="B33" s="236" t="s">
        <v>183</v>
      </c>
      <c r="C33" s="236">
        <v>12</v>
      </c>
      <c r="D33" s="132" t="e">
        <f>ROUND(F33/D8,2)</f>
        <v>#DIV/0!</v>
      </c>
      <c r="E33" s="236"/>
      <c r="F33" s="544">
        <f>'прил.3 фок'!F13</f>
        <v>0</v>
      </c>
      <c r="G33" s="512">
        <f t="shared" si="0"/>
        <v>0</v>
      </c>
      <c r="H33" s="545">
        <f>'[2]3лагеря'!F3</f>
        <v>0</v>
      </c>
      <c r="I33" s="512" t="e">
        <f t="shared" si="1"/>
        <v>#DIV/0!</v>
      </c>
      <c r="J33" s="512"/>
    </row>
    <row r="34" spans="1:83" x14ac:dyDescent="0.2">
      <c r="A34" s="230" t="str">
        <f>'прил.3 фок'!A14</f>
        <v>Услуги тех.обслуживания теплосчетчиков</v>
      </c>
      <c r="B34" s="236" t="s">
        <v>183</v>
      </c>
      <c r="C34" s="236">
        <v>12</v>
      </c>
      <c r="D34" s="132" t="e">
        <f>ROUND(F34/D8,2)</f>
        <v>#DIV/0!</v>
      </c>
      <c r="E34" s="236"/>
      <c r="F34" s="544">
        <f>'прил.3 фок'!F14</f>
        <v>0</v>
      </c>
      <c r="G34" s="512">
        <f t="shared" si="0"/>
        <v>0</v>
      </c>
      <c r="H34" s="545">
        <f>'[2]3лагеря'!F4</f>
        <v>0</v>
      </c>
      <c r="I34" s="512" t="e">
        <f t="shared" si="1"/>
        <v>#DIV/0!</v>
      </c>
      <c r="J34" s="512"/>
    </row>
    <row r="35" spans="1:83" x14ac:dyDescent="0.2">
      <c r="A35" s="230" t="str">
        <f>'прил.3 фок'!A15</f>
        <v>Проверка и ремонт теплосчетчиков</v>
      </c>
      <c r="B35" s="236" t="s">
        <v>183</v>
      </c>
      <c r="C35" s="236">
        <v>12</v>
      </c>
      <c r="D35" s="132" t="e">
        <f>ROUND(F35/D8,2)</f>
        <v>#DIV/0!</v>
      </c>
      <c r="E35" s="236"/>
      <c r="F35" s="544">
        <f>'прил.3 фок'!F15</f>
        <v>0</v>
      </c>
      <c r="G35" s="512">
        <f t="shared" si="0"/>
        <v>0</v>
      </c>
      <c r="H35" s="512"/>
      <c r="I35" s="512" t="e">
        <f t="shared" si="1"/>
        <v>#DIV/0!</v>
      </c>
      <c r="J35" s="512"/>
    </row>
    <row r="36" spans="1:83" x14ac:dyDescent="0.2">
      <c r="A36" s="230" t="str">
        <f>'прил.3 фок'!A16</f>
        <v>Противопожарные мероприятия</v>
      </c>
      <c r="B36" s="236" t="s">
        <v>183</v>
      </c>
      <c r="C36" s="236">
        <v>12</v>
      </c>
      <c r="D36" s="132" t="e">
        <f>ROUND(F36/D8,2)</f>
        <v>#DIV/0!</v>
      </c>
      <c r="E36" s="236"/>
      <c r="F36" s="544">
        <f>'прил.3 фок'!F16</f>
        <v>0</v>
      </c>
      <c r="G36" s="512">
        <f t="shared" si="0"/>
        <v>0</v>
      </c>
      <c r="H36" s="545">
        <f>'[2]3лагеря'!F6</f>
        <v>0</v>
      </c>
      <c r="I36" s="512" t="e">
        <f t="shared" si="1"/>
        <v>#DIV/0!</v>
      </c>
      <c r="J36" s="512"/>
    </row>
    <row r="37" spans="1:83" x14ac:dyDescent="0.2">
      <c r="A37" s="230" t="str">
        <f>'прил.3 фок'!A17</f>
        <v>Взносы на кап. ремонт</v>
      </c>
      <c r="B37" s="236" t="s">
        <v>183</v>
      </c>
      <c r="C37" s="236">
        <v>12</v>
      </c>
      <c r="D37" s="132" t="e">
        <f>ROUND(F37/D8,2)</f>
        <v>#DIV/0!</v>
      </c>
      <c r="E37" s="236"/>
      <c r="F37" s="544">
        <f>'прил.3 фок'!F17</f>
        <v>0</v>
      </c>
      <c r="G37" s="512">
        <f t="shared" si="0"/>
        <v>0</v>
      </c>
      <c r="H37" s="545">
        <f>'[2]3лагеря'!F7</f>
        <v>0</v>
      </c>
      <c r="I37" s="512" t="e">
        <f t="shared" si="1"/>
        <v>#DIV/0!</v>
      </c>
      <c r="J37" s="512"/>
    </row>
    <row r="38" spans="1:83" x14ac:dyDescent="0.2">
      <c r="A38" s="230" t="str">
        <f>'прил.3 фок'!A18</f>
        <v>Ппромывка опрессовка</v>
      </c>
      <c r="B38" s="236" t="s">
        <v>183</v>
      </c>
      <c r="C38" s="236">
        <v>12</v>
      </c>
      <c r="D38" s="132" t="e">
        <f>ROUND(F38/D8,2)</f>
        <v>#DIV/0!</v>
      </c>
      <c r="E38" s="236"/>
      <c r="F38" s="544">
        <f>'прил.3 фок'!F18</f>
        <v>0</v>
      </c>
      <c r="G38" s="512">
        <f t="shared" si="0"/>
        <v>0</v>
      </c>
      <c r="H38" s="545">
        <f>'[2]3лагеря'!F8</f>
        <v>0</v>
      </c>
      <c r="I38" s="512" t="e">
        <f t="shared" si="1"/>
        <v>#DIV/0!</v>
      </c>
      <c r="J38" s="512"/>
    </row>
    <row r="39" spans="1:83" x14ac:dyDescent="0.2">
      <c r="A39" s="230" t="str">
        <f>'прил.3 фок'!A19</f>
        <v>Очистка кровель</v>
      </c>
      <c r="B39" s="236" t="s">
        <v>183</v>
      </c>
      <c r="C39" s="236">
        <v>12</v>
      </c>
      <c r="D39" s="132" t="e">
        <f>ROUND(F39/D8,2)</f>
        <v>#DIV/0!</v>
      </c>
      <c r="E39" s="236"/>
      <c r="F39" s="544">
        <f>'прил.3 фок'!F19</f>
        <v>0</v>
      </c>
      <c r="G39" s="512">
        <f t="shared" si="0"/>
        <v>0</v>
      </c>
      <c r="H39" s="545">
        <f>'[2]3лагеря'!F9</f>
        <v>0</v>
      </c>
      <c r="I39" s="512" t="e">
        <f t="shared" si="1"/>
        <v>#DIV/0!</v>
      </c>
      <c r="J39" s="512"/>
    </row>
    <row r="40" spans="1:83" x14ac:dyDescent="0.2">
      <c r="A40" s="230" t="str">
        <f>'прил.3 фок'!A20</f>
        <v>Поверка монометров</v>
      </c>
      <c r="B40" s="236" t="s">
        <v>183</v>
      </c>
      <c r="C40" s="236">
        <v>13</v>
      </c>
      <c r="D40" s="132" t="e">
        <f>ROUND(F40/D8,2)</f>
        <v>#DIV/0!</v>
      </c>
      <c r="E40" s="236"/>
      <c r="F40" s="544">
        <f>'прил.3 фок'!F20</f>
        <v>0</v>
      </c>
      <c r="G40" s="512">
        <f t="shared" si="0"/>
        <v>0</v>
      </c>
      <c r="H40" s="512"/>
      <c r="I40" s="512" t="e">
        <f t="shared" si="1"/>
        <v>#DIV/0!</v>
      </c>
      <c r="J40" s="512"/>
    </row>
    <row r="41" spans="1:83" x14ac:dyDescent="0.2">
      <c r="A41" s="230" t="str">
        <f>'прил.3 фок'!A21</f>
        <v>Замер сопротивления</v>
      </c>
      <c r="B41" s="236" t="s">
        <v>183</v>
      </c>
      <c r="C41" s="236">
        <v>13</v>
      </c>
      <c r="D41" s="132" t="e">
        <f>ROUND(F41/D8,2)</f>
        <v>#DIV/0!</v>
      </c>
      <c r="E41" s="236"/>
      <c r="F41" s="544">
        <f>'прил.3 фок'!F21</f>
        <v>0</v>
      </c>
      <c r="G41" s="512">
        <f t="shared" si="0"/>
        <v>0</v>
      </c>
      <c r="H41" s="512"/>
      <c r="I41" s="512" t="e">
        <f t="shared" si="1"/>
        <v>#DIV/0!</v>
      </c>
      <c r="J41" s="512"/>
    </row>
    <row r="42" spans="1:83" ht="25.5" x14ac:dyDescent="0.2">
      <c r="A42" s="230" t="str">
        <f>'прил.3 фок'!A22</f>
        <v>Содержание и ремонт общедомового имущества</v>
      </c>
      <c r="B42" s="236" t="s">
        <v>183</v>
      </c>
      <c r="C42" s="236">
        <v>13</v>
      </c>
      <c r="D42" s="132" t="e">
        <f>ROUND(F42/D8,2)</f>
        <v>#DIV/0!</v>
      </c>
      <c r="E42" s="236"/>
      <c r="F42" s="544">
        <f>'прил.3 фок'!F22</f>
        <v>0</v>
      </c>
      <c r="G42" s="512">
        <f t="shared" si="0"/>
        <v>0</v>
      </c>
      <c r="H42" s="512"/>
      <c r="I42" s="512" t="e">
        <f t="shared" si="1"/>
        <v>#DIV/0!</v>
      </c>
      <c r="J42" s="512"/>
    </row>
    <row r="43" spans="1:83" x14ac:dyDescent="0.2">
      <c r="A43" s="230" t="str">
        <f>'прил.3 фок'!A23</f>
        <v>Огнезащитная обработка</v>
      </c>
      <c r="B43" s="236" t="s">
        <v>183</v>
      </c>
      <c r="C43" s="236">
        <v>13</v>
      </c>
      <c r="D43" s="132" t="e">
        <f>ROUND(F43/D8,2)</f>
        <v>#DIV/0!</v>
      </c>
      <c r="E43" s="236"/>
      <c r="F43" s="544">
        <f>'прил.3 фок'!F23</f>
        <v>0</v>
      </c>
      <c r="G43" s="512">
        <f t="shared" si="0"/>
        <v>0</v>
      </c>
      <c r="H43" s="512"/>
      <c r="I43" s="512" t="e">
        <f t="shared" si="1"/>
        <v>#DIV/0!</v>
      </c>
      <c r="J43" s="512"/>
    </row>
    <row r="44" spans="1:83" x14ac:dyDescent="0.2">
      <c r="A44" s="230">
        <f>'прил.3 фок'!A24</f>
        <v>0</v>
      </c>
      <c r="B44" s="236" t="s">
        <v>183</v>
      </c>
      <c r="C44" s="236">
        <v>13</v>
      </c>
      <c r="D44" s="132" t="e">
        <f>ROUND(F44/D8,2)</f>
        <v>#DIV/0!</v>
      </c>
      <c r="E44" s="236"/>
      <c r="F44" s="544">
        <f>'прил.3 фок'!F24</f>
        <v>0</v>
      </c>
      <c r="G44" s="512">
        <f t="shared" si="0"/>
        <v>0</v>
      </c>
      <c r="H44" s="512"/>
      <c r="I44" s="512" t="e">
        <f t="shared" si="1"/>
        <v>#DIV/0!</v>
      </c>
      <c r="J44" s="512"/>
    </row>
    <row r="45" spans="1:83" s="495" customFormat="1" ht="13.5" thickBot="1" x14ac:dyDescent="0.25">
      <c r="A45" s="543" t="s">
        <v>106</v>
      </c>
      <c r="B45" s="542"/>
      <c r="C45" s="542"/>
      <c r="D45" s="540" t="e">
        <f>SUM(D26:D44)</f>
        <v>#DIV/0!</v>
      </c>
      <c r="E45" s="541"/>
      <c r="F45" s="540">
        <f>SUM(F26:F44)</f>
        <v>0</v>
      </c>
      <c r="G45" s="540">
        <f>SUM(G26:G44)</f>
        <v>0</v>
      </c>
      <c r="H45" s="540">
        <f>SUM(H26:H44)</f>
        <v>0</v>
      </c>
      <c r="I45" s="540" t="e">
        <f>SUM(I26:I44)</f>
        <v>#DIV/0!</v>
      </c>
      <c r="J45" s="540">
        <f>SUM(J26:J44)</f>
        <v>0</v>
      </c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</row>
    <row r="46" spans="1:83" ht="18" customHeight="1" thickBot="1" x14ac:dyDescent="0.25">
      <c r="A46" s="1050" t="s">
        <v>194</v>
      </c>
      <c r="B46" s="940"/>
      <c r="C46" s="940"/>
      <c r="D46" s="940"/>
      <c r="E46" s="940"/>
      <c r="F46" s="940"/>
      <c r="G46" s="940"/>
      <c r="H46" s="940"/>
      <c r="I46" s="940"/>
      <c r="J46" s="1051"/>
    </row>
    <row r="47" spans="1:83" x14ac:dyDescent="0.2">
      <c r="A47" s="539" t="s">
        <v>442</v>
      </c>
      <c r="B47" s="538" t="s">
        <v>183</v>
      </c>
      <c r="C47" s="538">
        <v>12</v>
      </c>
      <c r="D47" s="538" t="e">
        <f>ROUND(F47/D8,2)</f>
        <v>#DIV/0!</v>
      </c>
      <c r="E47" s="538"/>
      <c r="F47" s="537">
        <f>'прил.3 фок'!F42</f>
        <v>0</v>
      </c>
      <c r="G47" s="517">
        <f t="shared" ref="G47:G72" si="2">IF(G$8=0,0,D47)</f>
        <v>0</v>
      </c>
      <c r="H47" s="517">
        <f>'[2]3лагеря'!F34</f>
        <v>0</v>
      </c>
      <c r="I47" s="516" t="e">
        <f t="shared" ref="I47:I72" si="3">ROUND(H47/$I$8,2)</f>
        <v>#DIV/0!</v>
      </c>
      <c r="J47" s="515"/>
    </row>
    <row r="48" spans="1:83" ht="38.25" hidden="1" x14ac:dyDescent="0.2">
      <c r="A48" s="536" t="s">
        <v>441</v>
      </c>
      <c r="B48" s="535"/>
      <c r="C48" s="535"/>
      <c r="D48" s="535"/>
      <c r="E48" s="535"/>
      <c r="F48" s="534"/>
      <c r="G48" s="513">
        <f t="shared" si="2"/>
        <v>0</v>
      </c>
      <c r="H48" s="513"/>
      <c r="I48" s="512" t="e">
        <f t="shared" si="3"/>
        <v>#DIV/0!</v>
      </c>
      <c r="J48" s="511"/>
    </row>
    <row r="49" spans="1:10" ht="25.5" hidden="1" x14ac:dyDescent="0.2">
      <c r="A49" s="536" t="s">
        <v>440</v>
      </c>
      <c r="B49" s="535"/>
      <c r="C49" s="535"/>
      <c r="D49" s="535"/>
      <c r="E49" s="535"/>
      <c r="F49" s="534"/>
      <c r="G49" s="513">
        <f t="shared" si="2"/>
        <v>0</v>
      </c>
      <c r="H49" s="513"/>
      <c r="I49" s="512" t="e">
        <f t="shared" si="3"/>
        <v>#DIV/0!</v>
      </c>
      <c r="J49" s="511"/>
    </row>
    <row r="50" spans="1:10" ht="25.5" hidden="1" x14ac:dyDescent="0.2">
      <c r="A50" s="536" t="s">
        <v>439</v>
      </c>
      <c r="B50" s="535"/>
      <c r="C50" s="535"/>
      <c r="D50" s="535"/>
      <c r="E50" s="535"/>
      <c r="F50" s="534"/>
      <c r="G50" s="513">
        <f t="shared" si="2"/>
        <v>0</v>
      </c>
      <c r="H50" s="513"/>
      <c r="I50" s="512" t="e">
        <f t="shared" si="3"/>
        <v>#DIV/0!</v>
      </c>
      <c r="J50" s="511"/>
    </row>
    <row r="51" spans="1:10" ht="25.5" hidden="1" x14ac:dyDescent="0.2">
      <c r="A51" s="536" t="s">
        <v>438</v>
      </c>
      <c r="B51" s="535"/>
      <c r="C51" s="535"/>
      <c r="D51" s="535"/>
      <c r="E51" s="535"/>
      <c r="F51" s="534"/>
      <c r="G51" s="513">
        <f t="shared" si="2"/>
        <v>0</v>
      </c>
      <c r="H51" s="513"/>
      <c r="I51" s="512" t="e">
        <f t="shared" si="3"/>
        <v>#DIV/0!</v>
      </c>
      <c r="J51" s="511"/>
    </row>
    <row r="52" spans="1:10" ht="38.25" hidden="1" x14ac:dyDescent="0.2">
      <c r="A52" s="536" t="s">
        <v>437</v>
      </c>
      <c r="B52" s="535"/>
      <c r="C52" s="535"/>
      <c r="D52" s="535"/>
      <c r="E52" s="535"/>
      <c r="F52" s="534"/>
      <c r="G52" s="513">
        <f t="shared" si="2"/>
        <v>0</v>
      </c>
      <c r="H52" s="513"/>
      <c r="I52" s="512" t="e">
        <f t="shared" si="3"/>
        <v>#DIV/0!</v>
      </c>
      <c r="J52" s="511"/>
    </row>
    <row r="53" spans="1:10" ht="31.5" hidden="1" customHeight="1" x14ac:dyDescent="0.2">
      <c r="A53" s="1057" t="s">
        <v>436</v>
      </c>
      <c r="B53" s="1058"/>
      <c r="C53" s="1058"/>
      <c r="D53" s="1058"/>
      <c r="E53" s="1058"/>
      <c r="F53" s="1059"/>
      <c r="G53" s="513">
        <f t="shared" si="2"/>
        <v>0</v>
      </c>
      <c r="H53" s="513"/>
      <c r="I53" s="512" t="e">
        <f t="shared" si="3"/>
        <v>#DIV/0!</v>
      </c>
      <c r="J53" s="511"/>
    </row>
    <row r="54" spans="1:10" hidden="1" x14ac:dyDescent="0.2">
      <c r="A54" s="536" t="s">
        <v>435</v>
      </c>
      <c r="B54" s="535"/>
      <c r="C54" s="535"/>
      <c r="D54" s="535"/>
      <c r="E54" s="535"/>
      <c r="F54" s="534"/>
      <c r="G54" s="513">
        <f t="shared" si="2"/>
        <v>0</v>
      </c>
      <c r="H54" s="513"/>
      <c r="I54" s="512" t="e">
        <f t="shared" si="3"/>
        <v>#DIV/0!</v>
      </c>
      <c r="J54" s="511"/>
    </row>
    <row r="55" spans="1:10" ht="25.5" hidden="1" x14ac:dyDescent="0.2">
      <c r="A55" s="536" t="s">
        <v>434</v>
      </c>
      <c r="B55" s="535"/>
      <c r="C55" s="535"/>
      <c r="D55" s="535"/>
      <c r="E55" s="535"/>
      <c r="F55" s="534"/>
      <c r="G55" s="513">
        <f t="shared" si="2"/>
        <v>0</v>
      </c>
      <c r="H55" s="513"/>
      <c r="I55" s="512" t="e">
        <f t="shared" si="3"/>
        <v>#DIV/0!</v>
      </c>
      <c r="J55" s="511"/>
    </row>
    <row r="56" spans="1:10" hidden="1" x14ac:dyDescent="0.2">
      <c r="A56" s="536" t="s">
        <v>433</v>
      </c>
      <c r="B56" s="535"/>
      <c r="C56" s="535"/>
      <c r="D56" s="535"/>
      <c r="E56" s="535"/>
      <c r="F56" s="534"/>
      <c r="G56" s="513">
        <f t="shared" si="2"/>
        <v>0</v>
      </c>
      <c r="H56" s="513"/>
      <c r="I56" s="512" t="e">
        <f t="shared" si="3"/>
        <v>#DIV/0!</v>
      </c>
      <c r="J56" s="511"/>
    </row>
    <row r="57" spans="1:10" ht="25.5" hidden="1" x14ac:dyDescent="0.2">
      <c r="A57" s="536" t="s">
        <v>432</v>
      </c>
      <c r="B57" s="535"/>
      <c r="C57" s="535"/>
      <c r="D57" s="535"/>
      <c r="E57" s="535"/>
      <c r="F57" s="534"/>
      <c r="G57" s="513">
        <f t="shared" si="2"/>
        <v>0</v>
      </c>
      <c r="H57" s="513"/>
      <c r="I57" s="512" t="e">
        <f t="shared" si="3"/>
        <v>#DIV/0!</v>
      </c>
      <c r="J57" s="511"/>
    </row>
    <row r="58" spans="1:10" ht="38.25" hidden="1" x14ac:dyDescent="0.2">
      <c r="A58" s="536" t="s">
        <v>431</v>
      </c>
      <c r="B58" s="535"/>
      <c r="C58" s="535"/>
      <c r="D58" s="535"/>
      <c r="E58" s="535"/>
      <c r="F58" s="534"/>
      <c r="G58" s="513">
        <f t="shared" si="2"/>
        <v>0</v>
      </c>
      <c r="H58" s="513"/>
      <c r="I58" s="512" t="e">
        <f t="shared" si="3"/>
        <v>#DIV/0!</v>
      </c>
      <c r="J58" s="511"/>
    </row>
    <row r="59" spans="1:10" ht="25.5" hidden="1" x14ac:dyDescent="0.2">
      <c r="A59" s="536" t="s">
        <v>430</v>
      </c>
      <c r="B59" s="535"/>
      <c r="C59" s="535"/>
      <c r="D59" s="535"/>
      <c r="E59" s="535"/>
      <c r="F59" s="534"/>
      <c r="G59" s="513">
        <f t="shared" si="2"/>
        <v>0</v>
      </c>
      <c r="H59" s="513"/>
      <c r="I59" s="512" t="e">
        <f t="shared" si="3"/>
        <v>#DIV/0!</v>
      </c>
      <c r="J59" s="511"/>
    </row>
    <row r="60" spans="1:10" ht="31.5" hidden="1" customHeight="1" x14ac:dyDescent="0.2">
      <c r="A60" s="1057" t="s">
        <v>429</v>
      </c>
      <c r="B60" s="1058"/>
      <c r="C60" s="1058"/>
      <c r="D60" s="1058"/>
      <c r="E60" s="1058"/>
      <c r="F60" s="1059"/>
      <c r="G60" s="513">
        <f t="shared" si="2"/>
        <v>0</v>
      </c>
      <c r="H60" s="513"/>
      <c r="I60" s="512" t="e">
        <f t="shared" si="3"/>
        <v>#DIV/0!</v>
      </c>
      <c r="J60" s="511"/>
    </row>
    <row r="61" spans="1:10" ht="25.5" hidden="1" x14ac:dyDescent="0.2">
      <c r="A61" s="536" t="s">
        <v>428</v>
      </c>
      <c r="B61" s="535"/>
      <c r="C61" s="535"/>
      <c r="D61" s="535"/>
      <c r="E61" s="535"/>
      <c r="F61" s="534"/>
      <c r="G61" s="513">
        <f t="shared" si="2"/>
        <v>0</v>
      </c>
      <c r="H61" s="513"/>
      <c r="I61" s="512" t="e">
        <f t="shared" si="3"/>
        <v>#DIV/0!</v>
      </c>
      <c r="J61" s="511"/>
    </row>
    <row r="62" spans="1:10" hidden="1" x14ac:dyDescent="0.2">
      <c r="A62" s="536" t="s">
        <v>427</v>
      </c>
      <c r="B62" s="535"/>
      <c r="C62" s="535"/>
      <c r="D62" s="535"/>
      <c r="E62" s="535"/>
      <c r="F62" s="534"/>
      <c r="G62" s="513">
        <f t="shared" si="2"/>
        <v>0</v>
      </c>
      <c r="H62" s="513"/>
      <c r="I62" s="512" t="e">
        <f t="shared" si="3"/>
        <v>#DIV/0!</v>
      </c>
      <c r="J62" s="511"/>
    </row>
    <row r="63" spans="1:10" hidden="1" x14ac:dyDescent="0.2">
      <c r="A63" s="536" t="s">
        <v>426</v>
      </c>
      <c r="B63" s="535"/>
      <c r="C63" s="535"/>
      <c r="D63" s="535"/>
      <c r="E63" s="535"/>
      <c r="F63" s="534"/>
      <c r="G63" s="513">
        <f t="shared" si="2"/>
        <v>0</v>
      </c>
      <c r="H63" s="513"/>
      <c r="I63" s="512" t="e">
        <f t="shared" si="3"/>
        <v>#DIV/0!</v>
      </c>
      <c r="J63" s="511"/>
    </row>
    <row r="64" spans="1:10" hidden="1" x14ac:dyDescent="0.2">
      <c r="A64" s="536" t="s">
        <v>425</v>
      </c>
      <c r="B64" s="535"/>
      <c r="C64" s="535"/>
      <c r="D64" s="535"/>
      <c r="E64" s="535"/>
      <c r="F64" s="534"/>
      <c r="G64" s="513">
        <f t="shared" si="2"/>
        <v>0</v>
      </c>
      <c r="H64" s="513"/>
      <c r="I64" s="512" t="e">
        <f t="shared" si="3"/>
        <v>#DIV/0!</v>
      </c>
      <c r="J64" s="511"/>
    </row>
    <row r="65" spans="1:83" hidden="1" x14ac:dyDescent="0.2">
      <c r="A65" s="536" t="s">
        <v>424</v>
      </c>
      <c r="B65" s="535"/>
      <c r="C65" s="535"/>
      <c r="D65" s="535"/>
      <c r="E65" s="535"/>
      <c r="F65" s="534"/>
      <c r="G65" s="513">
        <f t="shared" si="2"/>
        <v>0</v>
      </c>
      <c r="H65" s="513"/>
      <c r="I65" s="512" t="e">
        <f t="shared" si="3"/>
        <v>#DIV/0!</v>
      </c>
      <c r="J65" s="511"/>
    </row>
    <row r="66" spans="1:83" hidden="1" x14ac:dyDescent="0.2">
      <c r="A66" s="536" t="s">
        <v>423</v>
      </c>
      <c r="B66" s="535"/>
      <c r="C66" s="535"/>
      <c r="D66" s="535"/>
      <c r="E66" s="535"/>
      <c r="F66" s="534"/>
      <c r="G66" s="513">
        <f t="shared" si="2"/>
        <v>0</v>
      </c>
      <c r="H66" s="513"/>
      <c r="I66" s="512" t="e">
        <f t="shared" si="3"/>
        <v>#DIV/0!</v>
      </c>
      <c r="J66" s="511"/>
    </row>
    <row r="67" spans="1:83" ht="25.5" hidden="1" x14ac:dyDescent="0.2">
      <c r="A67" s="536" t="s">
        <v>422</v>
      </c>
      <c r="B67" s="535"/>
      <c r="C67" s="535"/>
      <c r="D67" s="535"/>
      <c r="E67" s="535"/>
      <c r="F67" s="534"/>
      <c r="G67" s="513">
        <f t="shared" si="2"/>
        <v>0</v>
      </c>
      <c r="H67" s="513"/>
      <c r="I67" s="512" t="e">
        <f t="shared" si="3"/>
        <v>#DIV/0!</v>
      </c>
      <c r="J67" s="511"/>
    </row>
    <row r="68" spans="1:83" ht="25.5" hidden="1" x14ac:dyDescent="0.2">
      <c r="A68" s="536" t="s">
        <v>421</v>
      </c>
      <c r="B68" s="535"/>
      <c r="C68" s="535"/>
      <c r="D68" s="535"/>
      <c r="E68" s="535"/>
      <c r="F68" s="534"/>
      <c r="G68" s="513">
        <f t="shared" si="2"/>
        <v>0</v>
      </c>
      <c r="H68" s="513"/>
      <c r="I68" s="512" t="e">
        <f t="shared" si="3"/>
        <v>#DIV/0!</v>
      </c>
      <c r="J68" s="511"/>
    </row>
    <row r="69" spans="1:83" ht="25.5" hidden="1" x14ac:dyDescent="0.2">
      <c r="A69" s="536" t="s">
        <v>420</v>
      </c>
      <c r="B69" s="535"/>
      <c r="C69" s="535"/>
      <c r="D69" s="535"/>
      <c r="E69" s="535"/>
      <c r="F69" s="534"/>
      <c r="G69" s="513">
        <f t="shared" si="2"/>
        <v>0</v>
      </c>
      <c r="H69" s="513"/>
      <c r="I69" s="512" t="e">
        <f t="shared" si="3"/>
        <v>#DIV/0!</v>
      </c>
      <c r="J69" s="511"/>
    </row>
    <row r="70" spans="1:83" ht="25.5" hidden="1" x14ac:dyDescent="0.2">
      <c r="A70" s="536" t="s">
        <v>419</v>
      </c>
      <c r="B70" s="535"/>
      <c r="C70" s="535"/>
      <c r="D70" s="535"/>
      <c r="E70" s="535"/>
      <c r="F70" s="534"/>
      <c r="G70" s="513">
        <f t="shared" si="2"/>
        <v>0</v>
      </c>
      <c r="H70" s="513"/>
      <c r="I70" s="512" t="e">
        <f t="shared" si="3"/>
        <v>#DIV/0!</v>
      </c>
      <c r="J70" s="511"/>
    </row>
    <row r="71" spans="1:83" ht="25.5" hidden="1" x14ac:dyDescent="0.2">
      <c r="A71" s="536" t="s">
        <v>418</v>
      </c>
      <c r="B71" s="535"/>
      <c r="C71" s="535"/>
      <c r="D71" s="535"/>
      <c r="E71" s="535"/>
      <c r="F71" s="534"/>
      <c r="G71" s="513">
        <f t="shared" si="2"/>
        <v>0</v>
      </c>
      <c r="H71" s="513"/>
      <c r="I71" s="512" t="e">
        <f t="shared" si="3"/>
        <v>#DIV/0!</v>
      </c>
      <c r="J71" s="511"/>
    </row>
    <row r="72" spans="1:83" x14ac:dyDescent="0.2">
      <c r="A72" s="524" t="str">
        <f>'[2]3лагеря'!A35</f>
        <v xml:space="preserve">Приобретение транспортных услуг </v>
      </c>
      <c r="B72" s="535"/>
      <c r="C72" s="535"/>
      <c r="D72" s="535"/>
      <c r="E72" s="535"/>
      <c r="F72" s="534">
        <f>ROUND(C72*D72,2)</f>
        <v>0</v>
      </c>
      <c r="G72" s="513">
        <f t="shared" si="2"/>
        <v>0</v>
      </c>
      <c r="H72" s="513">
        <f>'[2]3лагеря'!F35</f>
        <v>0</v>
      </c>
      <c r="I72" s="512" t="e">
        <f t="shared" si="3"/>
        <v>#DIV/0!</v>
      </c>
      <c r="J72" s="511"/>
    </row>
    <row r="73" spans="1:83" s="495" customFormat="1" ht="13.5" thickBot="1" x14ac:dyDescent="0.25">
      <c r="A73" s="533" t="s">
        <v>106</v>
      </c>
      <c r="B73" s="531"/>
      <c r="C73" s="531"/>
      <c r="D73" s="530" t="e">
        <f>SUM(D47+D72)</f>
        <v>#DIV/0!</v>
      </c>
      <c r="E73" s="531"/>
      <c r="F73" s="532">
        <f>SUM(F47+F72)</f>
        <v>0</v>
      </c>
      <c r="G73" s="531">
        <f>SUM(G47+G72)</f>
        <v>0</v>
      </c>
      <c r="H73" s="531">
        <f>SUM(H47+H72)</f>
        <v>0</v>
      </c>
      <c r="I73" s="531" t="e">
        <f>SUM(I47+I72)</f>
        <v>#DIV/0!</v>
      </c>
      <c r="J73" s="530">
        <f>SUM(J47+J72)</f>
        <v>0</v>
      </c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</row>
    <row r="74" spans="1:83" ht="15.75" customHeight="1" x14ac:dyDescent="0.2">
      <c r="A74" s="1052" t="s">
        <v>192</v>
      </c>
      <c r="B74" s="1053"/>
      <c r="C74" s="1053"/>
      <c r="D74" s="1053"/>
      <c r="E74" s="1053"/>
      <c r="F74" s="1053"/>
      <c r="G74" s="1053"/>
      <c r="H74" s="1053"/>
      <c r="I74" s="1053"/>
      <c r="J74" s="1054"/>
    </row>
    <row r="75" spans="1:83" ht="15.75" x14ac:dyDescent="0.2">
      <c r="A75" s="529" t="s">
        <v>417</v>
      </c>
      <c r="B75" s="147" t="s">
        <v>183</v>
      </c>
      <c r="C75" s="139"/>
      <c r="D75" s="147" t="e">
        <f>ROUND(F75/D8,2)</f>
        <v>#DIV/0!</v>
      </c>
      <c r="E75" s="528"/>
      <c r="F75" s="527">
        <f>'прил.3 фок'!B53</f>
        <v>0</v>
      </c>
      <c r="G75" s="400"/>
      <c r="H75" s="526">
        <f>'[2]3лагеря'!F16</f>
        <v>0</v>
      </c>
      <c r="I75" s="512" t="e">
        <f t="shared" ref="I75:I85" si="4">ROUND(H75/$I$8,2)</f>
        <v>#DIV/0!</v>
      </c>
      <c r="J75" s="400"/>
    </row>
    <row r="76" spans="1:83" ht="13.5" customHeight="1" x14ac:dyDescent="0.2">
      <c r="A76" s="525" t="s">
        <v>416</v>
      </c>
      <c r="B76" s="236" t="s">
        <v>183</v>
      </c>
      <c r="C76" s="142"/>
      <c r="D76" s="236" t="e">
        <f>ROUND(F76/D8,2)</f>
        <v>#DIV/0!</v>
      </c>
      <c r="E76" s="523"/>
      <c r="F76" s="523">
        <f>'прил.3 фок'!B59</f>
        <v>0</v>
      </c>
      <c r="G76" s="513">
        <f t="shared" ref="G76:G85" si="5">IF(G$8=0,0,D76)</f>
        <v>0</v>
      </c>
      <c r="H76" s="513"/>
      <c r="I76" s="512" t="e">
        <f t="shared" si="4"/>
        <v>#DIV/0!</v>
      </c>
      <c r="J76" s="513"/>
    </row>
    <row r="77" spans="1:83" ht="11.25" customHeight="1" x14ac:dyDescent="0.2">
      <c r="A77" s="524" t="str">
        <f>'прил.3 фок'!A64</f>
        <v>медосмотр</v>
      </c>
      <c r="B77" s="236" t="s">
        <v>183</v>
      </c>
      <c r="C77" s="142"/>
      <c r="D77" s="236" t="e">
        <f>ROUND(F77/D8,2)</f>
        <v>#DIV/0!</v>
      </c>
      <c r="E77" s="523"/>
      <c r="F77" s="522">
        <f>'прил.3 фок'!F67</f>
        <v>0</v>
      </c>
      <c r="G77" s="513">
        <f t="shared" si="5"/>
        <v>0</v>
      </c>
      <c r="H77" s="521">
        <f>'[2]3лагеря'!F12+'[2]3лагеря'!F13</f>
        <v>0</v>
      </c>
      <c r="I77" s="512" t="e">
        <f t="shared" si="4"/>
        <v>#DIV/0!</v>
      </c>
      <c r="J77" s="511"/>
    </row>
    <row r="78" spans="1:83" x14ac:dyDescent="0.2">
      <c r="A78" s="404" t="str">
        <f>'прил.3 фок'!A68</f>
        <v>договор подряда(услуги мед. сестры)</v>
      </c>
      <c r="B78" s="236" t="s">
        <v>183</v>
      </c>
      <c r="C78" s="142"/>
      <c r="D78" s="236" t="e">
        <f>ROUND(F78/D8,2)</f>
        <v>#DIV/0!</v>
      </c>
      <c r="E78" s="142"/>
      <c r="F78" s="522">
        <f>'прил.3 фок'!F68</f>
        <v>0</v>
      </c>
      <c r="G78" s="513">
        <f t="shared" si="5"/>
        <v>0</v>
      </c>
      <c r="H78" s="513"/>
      <c r="I78" s="512" t="e">
        <f t="shared" si="4"/>
        <v>#DIV/0!</v>
      </c>
      <c r="J78" s="511"/>
    </row>
    <row r="79" spans="1:83" x14ac:dyDescent="0.2">
      <c r="A79" s="404" t="str">
        <f>'прил.3 фок'!A69</f>
        <v>курсы повышения квалификации</v>
      </c>
      <c r="B79" s="236" t="s">
        <v>183</v>
      </c>
      <c r="C79" s="142"/>
      <c r="D79" s="132" t="e">
        <f>ROUND(F79/D8,2)</f>
        <v>#DIV/0!</v>
      </c>
      <c r="E79" s="142"/>
      <c r="F79" s="522">
        <f>'прил.3 фок'!F69</f>
        <v>0</v>
      </c>
      <c r="G79" s="513">
        <f t="shared" si="5"/>
        <v>0</v>
      </c>
      <c r="H79" s="521">
        <f>'[2]3лагеря'!D42</f>
        <v>0</v>
      </c>
      <c r="I79" s="512" t="e">
        <f t="shared" si="4"/>
        <v>#DIV/0!</v>
      </c>
      <c r="J79" s="511"/>
    </row>
    <row r="80" spans="1:83" x14ac:dyDescent="0.2">
      <c r="A80" s="404" t="str">
        <f>'прил.3 фок'!A70</f>
        <v>настройка программного обеспечения</v>
      </c>
      <c r="B80" s="236" t="s">
        <v>183</v>
      </c>
      <c r="C80" s="142"/>
      <c r="D80" s="132" t="e">
        <f>ROUND(F80/D8,2)</f>
        <v>#DIV/0!</v>
      </c>
      <c r="E80" s="142"/>
      <c r="F80" s="522">
        <f>'прил.3 фок'!F70</f>
        <v>0</v>
      </c>
      <c r="G80" s="513">
        <f t="shared" si="5"/>
        <v>0</v>
      </c>
      <c r="H80" s="521">
        <f>'[2]3лагеря'!F7+'[2]3лагеря'!F10+'[2]3лагеря'!F14+'[2]3лагеря'!F15+'[2]3лагеря'!F17+'[2]3лагеря'!F18</f>
        <v>0</v>
      </c>
      <c r="I80" s="512" t="e">
        <f t="shared" si="4"/>
        <v>#DIV/0!</v>
      </c>
      <c r="J80" s="511"/>
    </row>
    <row r="81" spans="1:83" x14ac:dyDescent="0.2">
      <c r="A81" s="404" t="str">
        <f>'прил.3 фок'!A71</f>
        <v>перевыпуск ЭЦП</v>
      </c>
      <c r="B81" s="236" t="s">
        <v>183</v>
      </c>
      <c r="C81" s="142"/>
      <c r="D81" s="132" t="e">
        <f>ROUND(F81/D8,2)</f>
        <v>#DIV/0!</v>
      </c>
      <c r="E81" s="142"/>
      <c r="F81" s="522">
        <f>'прил.3 фок'!F71</f>
        <v>0</v>
      </c>
      <c r="G81" s="513">
        <f t="shared" si="5"/>
        <v>0</v>
      </c>
      <c r="H81" s="521"/>
      <c r="I81" s="512" t="e">
        <f t="shared" si="4"/>
        <v>#DIV/0!</v>
      </c>
      <c r="J81" s="511"/>
    </row>
    <row r="82" spans="1:83" x14ac:dyDescent="0.2">
      <c r="A82" s="404" t="str">
        <f>'прил.3 фок'!A72</f>
        <v>электронная отчетность</v>
      </c>
      <c r="B82" s="236" t="s">
        <v>183</v>
      </c>
      <c r="C82" s="142"/>
      <c r="D82" s="132" t="e">
        <f>ROUND(F82/D8,2)</f>
        <v>#DIV/0!</v>
      </c>
      <c r="E82" s="142"/>
      <c r="F82" s="522">
        <f>'прил.3 фок'!F72</f>
        <v>0</v>
      </c>
      <c r="G82" s="513">
        <f t="shared" si="5"/>
        <v>0</v>
      </c>
      <c r="H82" s="521"/>
      <c r="I82" s="512" t="e">
        <f t="shared" si="4"/>
        <v>#DIV/0!</v>
      </c>
      <c r="J82" s="511"/>
    </row>
    <row r="83" spans="1:83" x14ac:dyDescent="0.2">
      <c r="A83" s="404" t="str">
        <f>'прил.3 фок'!A73</f>
        <v>обслуживание 1С:Бухгалтерия</v>
      </c>
      <c r="B83" s="236" t="s">
        <v>183</v>
      </c>
      <c r="C83" s="142"/>
      <c r="D83" s="132" t="e">
        <f>ROUND(F83/D8,2)</f>
        <v>#DIV/0!</v>
      </c>
      <c r="E83" s="142"/>
      <c r="F83" s="522">
        <f>'прил.3 фок'!F73</f>
        <v>0</v>
      </c>
      <c r="G83" s="513">
        <f t="shared" si="5"/>
        <v>0</v>
      </c>
      <c r="H83" s="521"/>
      <c r="I83" s="512" t="e">
        <f t="shared" si="4"/>
        <v>#DIV/0!</v>
      </c>
      <c r="J83" s="511"/>
    </row>
    <row r="84" spans="1:83" x14ac:dyDescent="0.2">
      <c r="A84" s="404" t="str">
        <f>'прил.3 фок'!A74</f>
        <v>аттестация</v>
      </c>
      <c r="B84" s="236" t="s">
        <v>183</v>
      </c>
      <c r="C84" s="142"/>
      <c r="D84" s="132" t="e">
        <f>ROUND(F84/D8,2)</f>
        <v>#DIV/0!</v>
      </c>
      <c r="E84" s="142"/>
      <c r="F84" s="522">
        <f>'прил.3 фок'!F74</f>
        <v>0</v>
      </c>
      <c r="G84" s="513">
        <f t="shared" si="5"/>
        <v>0</v>
      </c>
      <c r="H84" s="521"/>
      <c r="I84" s="512" t="e">
        <f t="shared" si="4"/>
        <v>#DIV/0!</v>
      </c>
      <c r="J84" s="511"/>
    </row>
    <row r="85" spans="1:83" x14ac:dyDescent="0.2">
      <c r="A85" s="404" t="s">
        <v>415</v>
      </c>
      <c r="B85" s="236" t="s">
        <v>183</v>
      </c>
      <c r="C85" s="142"/>
      <c r="D85" s="132" t="e">
        <f>ROUND(F85/D8,2)</f>
        <v>#DIV/0!</v>
      </c>
      <c r="E85" s="142"/>
      <c r="F85" s="522">
        <f>'прил.3 фок'!F76+'прил.3 фок'!F77+'прил.3 фок'!F78</f>
        <v>0</v>
      </c>
      <c r="G85" s="513">
        <f t="shared" si="5"/>
        <v>0</v>
      </c>
      <c r="H85" s="521"/>
      <c r="I85" s="512" t="e">
        <f t="shared" si="4"/>
        <v>#DIV/0!</v>
      </c>
      <c r="J85" s="511"/>
    </row>
    <row r="86" spans="1:83" s="519" customFormat="1" ht="13.5" thickBot="1" x14ac:dyDescent="0.25">
      <c r="A86" s="509" t="s">
        <v>182</v>
      </c>
      <c r="B86" s="507"/>
      <c r="C86" s="507"/>
      <c r="D86" s="520" t="e">
        <f>SUM(D75:D85)</f>
        <v>#DIV/0!</v>
      </c>
      <c r="E86" s="507"/>
      <c r="F86" s="520">
        <f>SUM(F75:F85)</f>
        <v>0</v>
      </c>
      <c r="G86" s="520">
        <f>SUM(G75:G85)</f>
        <v>0</v>
      </c>
      <c r="H86" s="520">
        <f>SUM(H75:H85)</f>
        <v>0</v>
      </c>
      <c r="I86" s="520" t="e">
        <f>SUM(I75:I85)</f>
        <v>#DIV/0!</v>
      </c>
      <c r="J86" s="520">
        <f>SUM(J75:J85)</f>
        <v>0</v>
      </c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</row>
    <row r="87" spans="1:83" s="488" customFormat="1" ht="18.75" hidden="1" x14ac:dyDescent="0.2">
      <c r="A87" s="1060" t="s">
        <v>190</v>
      </c>
      <c r="B87" s="1061"/>
      <c r="C87" s="1061"/>
      <c r="D87" s="1061"/>
      <c r="E87" s="1061"/>
      <c r="F87" s="1062"/>
      <c r="G87" s="407"/>
      <c r="H87" s="407"/>
      <c r="I87" s="407"/>
      <c r="J87" s="407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</row>
    <row r="88" spans="1:83" s="488" customFormat="1" ht="36.75" customHeight="1" thickBot="1" x14ac:dyDescent="0.3">
      <c r="A88" s="1055" t="s">
        <v>189</v>
      </c>
      <c r="B88" s="1055"/>
      <c r="C88" s="1055"/>
      <c r="D88" s="1055"/>
      <c r="E88" s="1055"/>
      <c r="F88" s="1055"/>
      <c r="G88" s="1055"/>
      <c r="H88" s="1055"/>
      <c r="I88" s="1055"/>
      <c r="J88" s="1056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</row>
    <row r="89" spans="1:83" s="488" customFormat="1" x14ac:dyDescent="0.2">
      <c r="A89" s="125" t="s">
        <v>160</v>
      </c>
      <c r="B89" s="101" t="s">
        <v>183</v>
      </c>
      <c r="C89" s="133">
        <v>12</v>
      </c>
      <c r="D89" s="101" t="e">
        <f>ROUND(F89/D8,2)</f>
        <v>#DIV/0!</v>
      </c>
      <c r="E89" s="124"/>
      <c r="F89" s="481">
        <f>'прил.4 фок'!F6</f>
        <v>0</v>
      </c>
      <c r="G89" s="517">
        <f>IF(G$8=0,0,D89)</f>
        <v>0</v>
      </c>
      <c r="H89" s="517"/>
      <c r="I89" s="516" t="e">
        <f>ROUND(H89/$I$8,2)</f>
        <v>#DIV/0!</v>
      </c>
      <c r="J89" s="515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</row>
    <row r="90" spans="1:83" s="488" customFormat="1" x14ac:dyDescent="0.2">
      <c r="A90" s="76" t="s">
        <v>159</v>
      </c>
      <c r="B90" s="236" t="s">
        <v>183</v>
      </c>
      <c r="C90" s="131">
        <v>12</v>
      </c>
      <c r="D90" s="132" t="e">
        <f>ROUND(F90/D8,2)</f>
        <v>#DIV/0!</v>
      </c>
      <c r="E90" s="130"/>
      <c r="F90" s="475">
        <f>'прил.4 фок'!F7</f>
        <v>0</v>
      </c>
      <c r="G90" s="513">
        <f>IF(G$8=0,0,D90)</f>
        <v>0</v>
      </c>
      <c r="H90" s="513"/>
      <c r="I90" s="512" t="e">
        <f>ROUND(H90/$I$8,2)</f>
        <v>#DIV/0!</v>
      </c>
      <c r="J90" s="511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</row>
    <row r="91" spans="1:83" s="495" customFormat="1" ht="13.5" thickBot="1" x14ac:dyDescent="0.25">
      <c r="A91" s="509" t="s">
        <v>182</v>
      </c>
      <c r="B91" s="507"/>
      <c r="C91" s="507"/>
      <c r="D91" s="508" t="e">
        <f>D89+D90</f>
        <v>#DIV/0!</v>
      </c>
      <c r="E91" s="507"/>
      <c r="F91" s="506">
        <f>F89+F90</f>
        <v>0</v>
      </c>
      <c r="G91" s="510">
        <f>G89+G90</f>
        <v>0</v>
      </c>
      <c r="H91" s="510"/>
      <c r="I91" s="510" t="e">
        <f>I89+I90</f>
        <v>#DIV/0!</v>
      </c>
      <c r="J91" s="518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</row>
    <row r="92" spans="1:83" s="488" customFormat="1" ht="16.5" thickBot="1" x14ac:dyDescent="0.3">
      <c r="A92" s="926" t="s">
        <v>188</v>
      </c>
      <c r="B92" s="926"/>
      <c r="C92" s="926"/>
      <c r="D92" s="926"/>
      <c r="E92" s="926"/>
      <c r="F92" s="926"/>
      <c r="G92" s="926"/>
      <c r="H92" s="926"/>
      <c r="I92" s="926"/>
      <c r="J92" s="927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</row>
    <row r="93" spans="1:83" s="488" customFormat="1" x14ac:dyDescent="0.2">
      <c r="A93" s="125" t="s">
        <v>155</v>
      </c>
      <c r="B93" s="101" t="s">
        <v>183</v>
      </c>
      <c r="C93" s="133">
        <v>12</v>
      </c>
      <c r="D93" s="101" t="e">
        <f>ROUND(F93/D8,2)</f>
        <v>#DIV/0!</v>
      </c>
      <c r="E93" s="124"/>
      <c r="F93" s="502">
        <f>'прил.4 фок'!F26</f>
        <v>0</v>
      </c>
      <c r="G93" s="517">
        <f>IF(G$8=0,0,D93)</f>
        <v>0</v>
      </c>
      <c r="H93" s="517"/>
      <c r="I93" s="516" t="e">
        <f>ROUND(H93/$I$8,2)</f>
        <v>#DIV/0!</v>
      </c>
      <c r="J93" s="515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</row>
    <row r="94" spans="1:83" s="488" customFormat="1" x14ac:dyDescent="0.2">
      <c r="A94" s="76" t="s">
        <v>154</v>
      </c>
      <c r="B94" s="236" t="s">
        <v>183</v>
      </c>
      <c r="C94" s="131">
        <v>12</v>
      </c>
      <c r="D94" s="132" t="e">
        <f>ROUND(F94/D8,2)</f>
        <v>#DIV/0!</v>
      </c>
      <c r="E94" s="130"/>
      <c r="F94" s="514">
        <f>'прил.4 фок'!F27</f>
        <v>0</v>
      </c>
      <c r="G94" s="513">
        <f>IF(G$8=0,0,D94)</f>
        <v>0</v>
      </c>
      <c r="H94" s="513"/>
      <c r="I94" s="512" t="e">
        <f>ROUND(H94/$I$8,2)</f>
        <v>#DIV/0!</v>
      </c>
      <c r="J94" s="511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</row>
    <row r="95" spans="1:83" s="488" customFormat="1" x14ac:dyDescent="0.2">
      <c r="A95" s="76" t="s">
        <v>414</v>
      </c>
      <c r="B95" s="236" t="s">
        <v>183</v>
      </c>
      <c r="C95" s="130"/>
      <c r="D95" s="132" t="e">
        <f>ROUND(F95/D8,2)</f>
        <v>#DIV/0!</v>
      </c>
      <c r="E95" s="130"/>
      <c r="F95" s="514">
        <f>ROUND('прил.4 фок'!F28,2)</f>
        <v>0</v>
      </c>
      <c r="G95" s="513">
        <f>IF(G$8=0,0,D95)</f>
        <v>0</v>
      </c>
      <c r="H95" s="513"/>
      <c r="I95" s="512" t="e">
        <f>ROUND(H95/$I$8,2)</f>
        <v>#DIV/0!</v>
      </c>
      <c r="J95" s="511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</row>
    <row r="96" spans="1:83" s="488" customFormat="1" hidden="1" x14ac:dyDescent="0.2">
      <c r="A96" s="76"/>
      <c r="B96" s="236" t="s">
        <v>183</v>
      </c>
      <c r="C96" s="130"/>
      <c r="D96" s="131"/>
      <c r="E96" s="130"/>
      <c r="F96" s="514"/>
      <c r="G96" s="513">
        <f>IF(G$8=0,0,D96)</f>
        <v>0</v>
      </c>
      <c r="H96" s="513"/>
      <c r="I96" s="512" t="e">
        <f>ROUND(H96/$I$8,2)</f>
        <v>#DIV/0!</v>
      </c>
      <c r="J96" s="511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</row>
    <row r="97" spans="1:83" s="495" customFormat="1" ht="13.5" thickBot="1" x14ac:dyDescent="0.25">
      <c r="A97" s="509" t="s">
        <v>182</v>
      </c>
      <c r="B97" s="507"/>
      <c r="C97" s="507"/>
      <c r="D97" s="508" t="e">
        <f>D93+D94+D95+D96</f>
        <v>#DIV/0!</v>
      </c>
      <c r="E97" s="507"/>
      <c r="F97" s="506">
        <f>F93+F94+F95+F96</f>
        <v>0</v>
      </c>
      <c r="G97" s="510">
        <f>G93+G94+G95+G96</f>
        <v>0</v>
      </c>
      <c r="H97" s="510">
        <f>H93+H94+H95+H96</f>
        <v>0</v>
      </c>
      <c r="I97" s="510" t="e">
        <f>I93+I94+I95+I96</f>
        <v>#DIV/0!</v>
      </c>
      <c r="J97" s="510">
        <f>J93+J94+J95+J96</f>
        <v>0</v>
      </c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</row>
    <row r="98" spans="1:83" s="488" customFormat="1" ht="33" customHeight="1" thickBot="1" x14ac:dyDescent="0.3">
      <c r="A98" s="959" t="s">
        <v>187</v>
      </c>
      <c r="B98" s="959"/>
      <c r="C98" s="959"/>
      <c r="D98" s="959"/>
      <c r="E98" s="959"/>
      <c r="F98" s="959"/>
      <c r="G98" s="959"/>
      <c r="H98" s="959"/>
      <c r="I98" s="959"/>
      <c r="J98" s="1076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</row>
    <row r="99" spans="1:83" s="488" customFormat="1" x14ac:dyDescent="0.2">
      <c r="A99" s="125" t="s">
        <v>149</v>
      </c>
      <c r="B99" s="101" t="s">
        <v>183</v>
      </c>
      <c r="C99" s="124"/>
      <c r="D99" s="101" t="e">
        <f>ROUND(F99/D8,2)</f>
        <v>#DIV/0!</v>
      </c>
      <c r="E99" s="124"/>
      <c r="F99" s="502">
        <f>'прил.4 фок'!F36</f>
        <v>0</v>
      </c>
      <c r="G99" s="480">
        <f>IF(G$8=0,0,D99)</f>
        <v>0</v>
      </c>
      <c r="H99" s="480"/>
      <c r="I99" s="479" t="e">
        <f>ROUND(H99/$I$8,2)</f>
        <v>#DIV/0!</v>
      </c>
      <c r="J99" s="478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</row>
    <row r="100" spans="1:83" s="495" customFormat="1" ht="13.5" thickBot="1" x14ac:dyDescent="0.25">
      <c r="A100" s="509" t="s">
        <v>182</v>
      </c>
      <c r="B100" s="507"/>
      <c r="C100" s="507"/>
      <c r="D100" s="508" t="e">
        <f>D99</f>
        <v>#DIV/0!</v>
      </c>
      <c r="E100" s="507"/>
      <c r="F100" s="506">
        <f>F99</f>
        <v>0</v>
      </c>
      <c r="G100" s="496">
        <f>G99</f>
        <v>0</v>
      </c>
      <c r="H100" s="496">
        <f>H99</f>
        <v>0</v>
      </c>
      <c r="I100" s="496" t="e">
        <f>I99</f>
        <v>#DIV/0!</v>
      </c>
      <c r="J100" s="496">
        <f>J99</f>
        <v>0</v>
      </c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</row>
    <row r="101" spans="1:83" s="488" customFormat="1" ht="16.5" thickBot="1" x14ac:dyDescent="0.3">
      <c r="A101" s="505" t="s">
        <v>186</v>
      </c>
      <c r="B101" s="505"/>
      <c r="C101" s="505"/>
      <c r="D101" s="505"/>
      <c r="E101" s="505"/>
      <c r="F101" s="504"/>
      <c r="G101" s="503"/>
      <c r="H101" s="503"/>
      <c r="I101" s="503"/>
      <c r="J101" s="50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</row>
    <row r="102" spans="1:83" s="488" customFormat="1" x14ac:dyDescent="0.2">
      <c r="A102" s="125"/>
      <c r="B102" s="101" t="s">
        <v>183</v>
      </c>
      <c r="C102" s="124"/>
      <c r="D102" s="101" t="e">
        <f>ROUND(F102/D8,2)</f>
        <v>#DIV/0!</v>
      </c>
      <c r="E102" s="124"/>
      <c r="F102" s="502">
        <f>'прил.4 фок'!F43</f>
        <v>0</v>
      </c>
      <c r="G102" s="480">
        <f>IF(G$8=0,0,D102)</f>
        <v>0</v>
      </c>
      <c r="H102" s="480"/>
      <c r="I102" s="479" t="e">
        <f>ROUND(H102/$I$8,2)</f>
        <v>#DIV/0!</v>
      </c>
      <c r="J102" s="478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</row>
    <row r="103" spans="1:83" s="488" customFormat="1" ht="13.5" thickBot="1" x14ac:dyDescent="0.25">
      <c r="A103" s="130"/>
      <c r="B103" s="236" t="s">
        <v>183</v>
      </c>
      <c r="C103" s="119"/>
      <c r="D103" s="120" t="e">
        <f>ROUND(F103/D8,2)</f>
        <v>#DIV/0!</v>
      </c>
      <c r="E103" s="119"/>
      <c r="F103" s="501">
        <f>'прил.4 фок'!F44</f>
        <v>0</v>
      </c>
      <c r="G103" s="403">
        <f>IF(G$8=0,0,D103)</f>
        <v>0</v>
      </c>
      <c r="H103" s="403"/>
      <c r="I103" s="476" t="e">
        <f>ROUND(H103/$I$8,2)</f>
        <v>#DIV/0!</v>
      </c>
      <c r="J103" s="402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</row>
    <row r="104" spans="1:83" s="495" customFormat="1" ht="13.5" thickBot="1" x14ac:dyDescent="0.25">
      <c r="A104" s="500" t="s">
        <v>182</v>
      </c>
      <c r="B104" s="498"/>
      <c r="C104" s="498"/>
      <c r="D104" s="499" t="e">
        <f>D102+D103</f>
        <v>#DIV/0!</v>
      </c>
      <c r="E104" s="498"/>
      <c r="F104" s="497">
        <f>F102+F103</f>
        <v>0</v>
      </c>
      <c r="G104" s="496">
        <f>G102+G103</f>
        <v>0</v>
      </c>
      <c r="H104" s="496">
        <f>H102+H103</f>
        <v>0</v>
      </c>
      <c r="I104" s="496" t="e">
        <f>I102+I103</f>
        <v>#DIV/0!</v>
      </c>
      <c r="J104" s="496">
        <f>J102+J103</f>
        <v>0</v>
      </c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</row>
    <row r="105" spans="1:83" s="488" customFormat="1" ht="16.5" customHeight="1" thickBot="1" x14ac:dyDescent="0.25">
      <c r="A105" s="1067" t="s">
        <v>185</v>
      </c>
      <c r="B105" s="1068"/>
      <c r="C105" s="1068"/>
      <c r="D105" s="1068"/>
      <c r="E105" s="1068"/>
      <c r="F105" s="1068"/>
      <c r="G105" s="1068"/>
      <c r="H105" s="1068"/>
      <c r="I105" s="1068"/>
      <c r="J105" s="1069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</row>
    <row r="106" spans="1:83" s="488" customFormat="1" x14ac:dyDescent="0.2">
      <c r="A106" s="25" t="s">
        <v>171</v>
      </c>
      <c r="B106" s="101" t="s">
        <v>183</v>
      </c>
      <c r="C106" s="101">
        <v>12</v>
      </c>
      <c r="D106" s="102" t="e">
        <f>ROUND(F106/D8,2)</f>
        <v>#DIV/0!</v>
      </c>
      <c r="E106" s="101"/>
      <c r="F106" s="481">
        <f>'прил.5 фок'!I6+'прил.5 фок'!I7</f>
        <v>0</v>
      </c>
      <c r="G106" s="480">
        <f t="shared" ref="G106:G111" si="6">IF(G$8=0,0,D106)</f>
        <v>0</v>
      </c>
      <c r="H106" s="480"/>
      <c r="I106" s="479" t="e">
        <f t="shared" ref="I106:I111" si="7">ROUND(H106/$I$8,2)</f>
        <v>#DIV/0!</v>
      </c>
      <c r="J106" s="478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</row>
    <row r="107" spans="1:83" s="488" customFormat="1" x14ac:dyDescent="0.2">
      <c r="A107" s="22" t="s">
        <v>170</v>
      </c>
      <c r="B107" s="236" t="s">
        <v>183</v>
      </c>
      <c r="C107" s="236">
        <v>12</v>
      </c>
      <c r="D107" s="97" t="e">
        <f>ROUND(F107/D8,2)</f>
        <v>#DIV/0!</v>
      </c>
      <c r="E107" s="236"/>
      <c r="F107" s="475">
        <f>'прил.5 фок'!I8+'прил.5 фок'!I9</f>
        <v>0</v>
      </c>
      <c r="G107" s="403">
        <f t="shared" si="6"/>
        <v>0</v>
      </c>
      <c r="H107" s="403"/>
      <c r="I107" s="476" t="e">
        <f t="shared" si="7"/>
        <v>#DIV/0!</v>
      </c>
      <c r="J107" s="402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</row>
    <row r="108" spans="1:83" s="488" customFormat="1" x14ac:dyDescent="0.2">
      <c r="A108" s="32" t="s">
        <v>169</v>
      </c>
      <c r="B108" s="236" t="s">
        <v>183</v>
      </c>
      <c r="C108" s="236">
        <v>12</v>
      </c>
      <c r="D108" s="97" t="e">
        <f>ROUND(F108/D8,2)</f>
        <v>#DIV/0!</v>
      </c>
      <c r="E108" s="236"/>
      <c r="F108" s="475">
        <f>'прил.5 фок'!I10+'прил.5 фок'!I11+'прил.5 фок'!I12+'прил.5 фок'!I13+'прил.5 фок'!I14+'прил.5 фок'!I15</f>
        <v>0</v>
      </c>
      <c r="G108" s="403">
        <f t="shared" si="6"/>
        <v>0</v>
      </c>
      <c r="H108" s="403"/>
      <c r="I108" s="476" t="e">
        <f t="shared" si="7"/>
        <v>#DIV/0!</v>
      </c>
      <c r="J108" s="402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</row>
    <row r="109" spans="1:83" s="488" customFormat="1" x14ac:dyDescent="0.2">
      <c r="A109" s="32" t="s">
        <v>168</v>
      </c>
      <c r="B109" s="236" t="s">
        <v>183</v>
      </c>
      <c r="C109" s="236">
        <v>12</v>
      </c>
      <c r="D109" s="97" t="e">
        <f>ROUND(F109/D8,2)</f>
        <v>#DIV/0!</v>
      </c>
      <c r="E109" s="236"/>
      <c r="F109" s="475">
        <f>'прил.5 фок'!I16+'прил.5 фок'!I17+'прил.5 фок'!I18+'прил.5 фок'!I19</f>
        <v>0</v>
      </c>
      <c r="G109" s="403">
        <f t="shared" si="6"/>
        <v>0</v>
      </c>
      <c r="H109" s="403"/>
      <c r="I109" s="476" t="e">
        <f t="shared" si="7"/>
        <v>#DIV/0!</v>
      </c>
      <c r="J109" s="402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</row>
    <row r="110" spans="1:83" s="488" customFormat="1" x14ac:dyDescent="0.2">
      <c r="A110" s="32" t="s">
        <v>166</v>
      </c>
      <c r="B110" s="236" t="s">
        <v>183</v>
      </c>
      <c r="C110" s="236">
        <v>12</v>
      </c>
      <c r="D110" s="97" t="e">
        <f>ROUND(F110/D8,2)</f>
        <v>#DIV/0!</v>
      </c>
      <c r="E110" s="236"/>
      <c r="F110" s="475">
        <f>'прил.5 фок'!I20+'прил.5 фок'!I21</f>
        <v>0</v>
      </c>
      <c r="G110" s="403">
        <f t="shared" si="6"/>
        <v>0</v>
      </c>
      <c r="H110" s="403"/>
      <c r="I110" s="476" t="e">
        <f t="shared" si="7"/>
        <v>#DIV/0!</v>
      </c>
      <c r="J110" s="402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</row>
    <row r="111" spans="1:83" s="488" customFormat="1" ht="25.5" x14ac:dyDescent="0.2">
      <c r="A111" s="22" t="s">
        <v>164</v>
      </c>
      <c r="B111" s="236" t="s">
        <v>183</v>
      </c>
      <c r="C111" s="236">
        <v>12</v>
      </c>
      <c r="D111" s="97" t="e">
        <f>ROUND(F111/D8,2)</f>
        <v>#DIV/0!</v>
      </c>
      <c r="E111" s="236"/>
      <c r="F111" s="475">
        <f>'прил.5 фок'!I22</f>
        <v>0</v>
      </c>
      <c r="G111" s="403">
        <f t="shared" si="6"/>
        <v>0</v>
      </c>
      <c r="H111" s="403"/>
      <c r="I111" s="476" t="e">
        <f t="shared" si="7"/>
        <v>#DIV/0!</v>
      </c>
      <c r="J111" s="402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</row>
    <row r="112" spans="1:83" s="488" customFormat="1" ht="13.5" thickBot="1" x14ac:dyDescent="0.25">
      <c r="A112" s="494" t="s">
        <v>182</v>
      </c>
      <c r="B112" s="493"/>
      <c r="C112" s="493"/>
      <c r="D112" s="492" t="e">
        <f>SUM(D106:D111)</f>
        <v>#DIV/0!</v>
      </c>
      <c r="E112" s="491"/>
      <c r="F112" s="490">
        <f>SUM(F106:F111)</f>
        <v>0</v>
      </c>
      <c r="G112" s="489">
        <f>SUM(G106:G111)</f>
        <v>0</v>
      </c>
      <c r="H112" s="489">
        <f>SUM(H106:H111)</f>
        <v>0</v>
      </c>
      <c r="I112" s="489" t="e">
        <f>SUM(I106:I111)</f>
        <v>#DIV/0!</v>
      </c>
      <c r="J112" s="489">
        <f>SUM(J106:J111)</f>
        <v>0</v>
      </c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</row>
    <row r="113" spans="1:83" s="482" customFormat="1" ht="13.5" thickBot="1" x14ac:dyDescent="0.25">
      <c r="A113" s="487" t="s">
        <v>184</v>
      </c>
      <c r="B113" s="485"/>
      <c r="C113" s="485"/>
      <c r="D113" s="486" t="e">
        <f>ROUND(F113/D8,2)</f>
        <v>#DIV/0!</v>
      </c>
      <c r="E113" s="485"/>
      <c r="F113" s="484">
        <f>F112+F104+F100+F97+F91+F86+F73+F45+F24</f>
        <v>0</v>
      </c>
      <c r="G113" s="483">
        <f>G112+G104+G100+G97+G91+G86+G73+G45+G24</f>
        <v>0</v>
      </c>
      <c r="H113" s="483" t="e">
        <f>H112+H104+H100+H97+H91+H86+H73+H45+H24</f>
        <v>#DIV/0!</v>
      </c>
      <c r="I113" s="483" t="e">
        <f>I112+I104+I100+I97+I91+I86+I73+I45+I24</f>
        <v>#DIV/0!</v>
      </c>
      <c r="J113" s="483">
        <f>J112+J104+J100+J97+J91+J86+J73+J45+J24</f>
        <v>0</v>
      </c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</row>
    <row r="114" spans="1:83" ht="19.5" customHeight="1" thickBot="1" x14ac:dyDescent="0.25">
      <c r="A114" s="1070" t="s">
        <v>413</v>
      </c>
      <c r="B114" s="1071"/>
      <c r="C114" s="1071"/>
      <c r="D114" s="1071"/>
      <c r="E114" s="1071"/>
      <c r="F114" s="1071"/>
      <c r="G114" s="1071"/>
      <c r="H114" s="1071"/>
      <c r="I114" s="1071"/>
      <c r="J114" s="1072"/>
    </row>
    <row r="115" spans="1:83" x14ac:dyDescent="0.2">
      <c r="A115" s="104" t="s">
        <v>412</v>
      </c>
      <c r="B115" s="101" t="s">
        <v>183</v>
      </c>
      <c r="C115" s="103">
        <v>2.1999999999999999E-2</v>
      </c>
      <c r="D115" s="102" t="e">
        <f>ROUND(F115/D8,2)</f>
        <v>#DIV/0!</v>
      </c>
      <c r="E115" s="101"/>
      <c r="F115" s="481">
        <f>'прил.6 фок'!D6</f>
        <v>0</v>
      </c>
      <c r="G115" s="480">
        <f t="shared" ref="G115:G121" si="8">IF(G$8=0,0,D115)</f>
        <v>0</v>
      </c>
      <c r="H115" s="480"/>
      <c r="I115" s="479" t="e">
        <f t="shared" ref="I115:I121" si="9">ROUND(H115/$I$8,2)</f>
        <v>#DIV/0!</v>
      </c>
      <c r="J115" s="478"/>
    </row>
    <row r="116" spans="1:83" x14ac:dyDescent="0.2">
      <c r="A116" s="99" t="s">
        <v>411</v>
      </c>
      <c r="B116" s="236" t="s">
        <v>183</v>
      </c>
      <c r="C116" s="98">
        <v>1.4999999999999999E-2</v>
      </c>
      <c r="D116" s="97" t="e">
        <f>ROUND(F116/D8,2)</f>
        <v>#DIV/0!</v>
      </c>
      <c r="E116" s="236"/>
      <c r="F116" s="475">
        <f>'прил.6 фок'!D7+'прил.6 фок'!D8</f>
        <v>0</v>
      </c>
      <c r="G116" s="403">
        <f t="shared" si="8"/>
        <v>0</v>
      </c>
      <c r="H116" s="403"/>
      <c r="I116" s="476" t="e">
        <f t="shared" si="9"/>
        <v>#DIV/0!</v>
      </c>
      <c r="J116" s="402"/>
    </row>
    <row r="117" spans="1:83" hidden="1" x14ac:dyDescent="0.2">
      <c r="A117" s="477"/>
      <c r="B117" s="236" t="s">
        <v>183</v>
      </c>
      <c r="C117" s="98"/>
      <c r="D117" s="97" t="e">
        <f>ROUND(F117/D8,2)</f>
        <v>#DIV/0!</v>
      </c>
      <c r="E117" s="236"/>
      <c r="F117" s="475">
        <f>'прил.6 фок'!D9</f>
        <v>0</v>
      </c>
      <c r="G117" s="403">
        <f t="shared" si="8"/>
        <v>0</v>
      </c>
      <c r="H117" s="403"/>
      <c r="I117" s="476" t="e">
        <f t="shared" si="9"/>
        <v>#DIV/0!</v>
      </c>
      <c r="J117" s="402"/>
    </row>
    <row r="118" spans="1:83" hidden="1" x14ac:dyDescent="0.2">
      <c r="A118" s="99"/>
      <c r="B118" s="236" t="s">
        <v>183</v>
      </c>
      <c r="C118" s="98"/>
      <c r="D118" s="97" t="e">
        <f>ROUND(F118/D8,2)</f>
        <v>#DIV/0!</v>
      </c>
      <c r="E118" s="236"/>
      <c r="F118" s="475">
        <f>'прил.6 фок'!D10</f>
        <v>0</v>
      </c>
      <c r="G118" s="403">
        <f t="shared" si="8"/>
        <v>0</v>
      </c>
      <c r="H118" s="403"/>
      <c r="I118" s="476" t="e">
        <f t="shared" si="9"/>
        <v>#DIV/0!</v>
      </c>
      <c r="J118" s="402"/>
    </row>
    <row r="119" spans="1:83" hidden="1" x14ac:dyDescent="0.2">
      <c r="A119" s="99"/>
      <c r="B119" s="236" t="s">
        <v>183</v>
      </c>
      <c r="C119" s="98"/>
      <c r="D119" s="97" t="e">
        <f>ROUND(F119/D8,2)</f>
        <v>#DIV/0!</v>
      </c>
      <c r="E119" s="236"/>
      <c r="F119" s="475">
        <f>'прил.6 фок'!D11</f>
        <v>0</v>
      </c>
      <c r="G119" s="403">
        <f t="shared" si="8"/>
        <v>0</v>
      </c>
      <c r="H119" s="403"/>
      <c r="I119" s="476" t="e">
        <f t="shared" si="9"/>
        <v>#DIV/0!</v>
      </c>
      <c r="J119" s="402"/>
    </row>
    <row r="120" spans="1:83" hidden="1" x14ac:dyDescent="0.2">
      <c r="A120" s="32"/>
      <c r="B120" s="236" t="s">
        <v>183</v>
      </c>
      <c r="C120" s="98"/>
      <c r="D120" s="97" t="e">
        <f>ROUND(F120/D8,2)</f>
        <v>#DIV/0!</v>
      </c>
      <c r="E120" s="236"/>
      <c r="F120" s="475">
        <f>'прил.6 фок'!F22+'прил.6 фок'!F23+'прил.6 фок'!F24+'прил.6 фок'!F25</f>
        <v>0</v>
      </c>
      <c r="G120" s="403">
        <f t="shared" si="8"/>
        <v>0</v>
      </c>
      <c r="H120" s="403"/>
      <c r="I120" s="476" t="e">
        <f t="shared" si="9"/>
        <v>#DIV/0!</v>
      </c>
      <c r="J120" s="402"/>
    </row>
    <row r="121" spans="1:83" hidden="1" x14ac:dyDescent="0.2">
      <c r="A121" s="32"/>
      <c r="B121" s="236" t="s">
        <v>183</v>
      </c>
      <c r="C121" s="98"/>
      <c r="D121" s="97" t="e">
        <f>ROUND(F121/D8,2)</f>
        <v>#DIV/0!</v>
      </c>
      <c r="E121" s="236"/>
      <c r="F121" s="475">
        <f>'прил.6 фок'!F26+'прил.6 фок'!F27</f>
        <v>0</v>
      </c>
      <c r="G121" s="403">
        <f t="shared" si="8"/>
        <v>0</v>
      </c>
      <c r="H121" s="403"/>
      <c r="I121" s="476" t="e">
        <f t="shared" si="9"/>
        <v>#DIV/0!</v>
      </c>
      <c r="J121" s="402"/>
    </row>
    <row r="122" spans="1:83" hidden="1" x14ac:dyDescent="0.2">
      <c r="A122" s="99"/>
      <c r="B122" s="236"/>
      <c r="C122" s="98"/>
      <c r="D122" s="97"/>
      <c r="E122" s="236"/>
      <c r="F122" s="475"/>
      <c r="G122" s="403"/>
      <c r="H122" s="403"/>
      <c r="I122" s="403"/>
      <c r="J122" s="402"/>
    </row>
    <row r="123" spans="1:83" s="468" customFormat="1" ht="13.5" thickBot="1" x14ac:dyDescent="0.25">
      <c r="A123" s="474" t="s">
        <v>182</v>
      </c>
      <c r="B123" s="471"/>
      <c r="C123" s="473"/>
      <c r="D123" s="472" t="e">
        <f>ROUND(F123/D8,2)</f>
        <v>#DIV/0!</v>
      </c>
      <c r="E123" s="471"/>
      <c r="F123" s="470">
        <f>SUM(F115:F121)</f>
        <v>0</v>
      </c>
      <c r="G123" s="469">
        <f>SUM(G115:G122)</f>
        <v>0</v>
      </c>
      <c r="H123" s="469">
        <f>SUM(H115:H122)</f>
        <v>0</v>
      </c>
      <c r="I123" s="469" t="e">
        <f>SUM(I115:I122)</f>
        <v>#DIV/0!</v>
      </c>
      <c r="J123" s="469">
        <f>SUM(J115:J122)</f>
        <v>0</v>
      </c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</row>
    <row r="124" spans="1:83" ht="19.5" thickBot="1" x14ac:dyDescent="0.35">
      <c r="A124" s="467" t="s">
        <v>181</v>
      </c>
      <c r="B124" s="466"/>
      <c r="C124" s="466"/>
      <c r="D124" s="465" t="e">
        <f>ROUND(F124/D8,2)</f>
        <v>#DIV/0!</v>
      </c>
      <c r="E124" s="464"/>
      <c r="F124" s="463">
        <f>F123+F113+F17</f>
        <v>0</v>
      </c>
      <c r="G124" s="706">
        <f>G123+G113+G17</f>
        <v>0</v>
      </c>
      <c r="H124" s="462" t="e">
        <f>H123+H113+H17</f>
        <v>#DIV/0!</v>
      </c>
      <c r="I124" s="462" t="e">
        <f>I123+I113+I17-0.01</f>
        <v>#DIV/0!</v>
      </c>
      <c r="J124" s="462">
        <f>J123+J113+J17</f>
        <v>0</v>
      </c>
    </row>
    <row r="125" spans="1:83" x14ac:dyDescent="0.2">
      <c r="F125" s="461"/>
    </row>
    <row r="126" spans="1:83" hidden="1" x14ac:dyDescent="0.2">
      <c r="F126" s="269"/>
    </row>
    <row r="127" spans="1:83" ht="15" x14ac:dyDescent="0.25">
      <c r="A127" s="15" t="s">
        <v>554</v>
      </c>
      <c r="B127" s="70"/>
      <c r="C127" s="211"/>
      <c r="D127" s="941" t="s">
        <v>498</v>
      </c>
      <c r="E127" s="942"/>
      <c r="F127" s="15" t="e">
        <f>'прил.1+2 фок'!#REF!</f>
        <v>#REF!</v>
      </c>
      <c r="I127" s="369" t="s">
        <v>410</v>
      </c>
    </row>
    <row r="128" spans="1:83" x14ac:dyDescent="0.2">
      <c r="A128" s="67"/>
      <c r="B128" s="67"/>
      <c r="C128" s="67"/>
      <c r="D128" s="67"/>
      <c r="E128" s="14"/>
      <c r="I128" s="11"/>
    </row>
    <row r="129" spans="1:83" ht="15" x14ac:dyDescent="0.25">
      <c r="A129" s="11" t="s">
        <v>555</v>
      </c>
      <c r="B129" s="67"/>
      <c r="C129" s="212"/>
      <c r="D129" s="941" t="s">
        <v>499</v>
      </c>
      <c r="E129" s="942"/>
      <c r="F129" s="702"/>
      <c r="G129" s="703"/>
      <c r="I129" s="65"/>
    </row>
    <row r="130" spans="1:83" x14ac:dyDescent="0.2">
      <c r="B130" s="370"/>
      <c r="C130" s="370"/>
      <c r="D130" s="369"/>
      <c r="G130" s="11"/>
      <c r="H130" s="11"/>
      <c r="I130" s="369" t="s">
        <v>409</v>
      </c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</row>
    <row r="131" spans="1:83" x14ac:dyDescent="0.2">
      <c r="F131" s="269">
        <f>[2]проверка!B6</f>
        <v>0</v>
      </c>
      <c r="G131" s="460" t="e">
        <f>[2]проверка!E6</f>
        <v>#DIV/0!</v>
      </c>
      <c r="I131" s="460" t="e">
        <f>[2]проверка!E20</f>
        <v>#DIV/0!</v>
      </c>
    </row>
    <row r="132" spans="1:83" x14ac:dyDescent="0.2">
      <c r="F132" s="269">
        <f>F131-F124</f>
        <v>0</v>
      </c>
      <c r="G132" s="460" t="e">
        <f>G131-G124</f>
        <v>#DIV/0!</v>
      </c>
      <c r="H132" s="460" t="e">
        <f>H131-H124</f>
        <v>#DIV/0!</v>
      </c>
      <c r="I132" s="460" t="e">
        <f>I131-I124</f>
        <v>#DIV/0!</v>
      </c>
    </row>
  </sheetData>
  <mergeCells count="22">
    <mergeCell ref="D127:E127"/>
    <mergeCell ref="D129:E129"/>
    <mergeCell ref="A105:J105"/>
    <mergeCell ref="A114:J114"/>
    <mergeCell ref="A5:F5"/>
    <mergeCell ref="A92:J92"/>
    <mergeCell ref="A98:J98"/>
    <mergeCell ref="A18:J18"/>
    <mergeCell ref="A19:J19"/>
    <mergeCell ref="A25:J25"/>
    <mergeCell ref="A1:J1"/>
    <mergeCell ref="A7:J7"/>
    <mergeCell ref="A46:J46"/>
    <mergeCell ref="A74:J74"/>
    <mergeCell ref="A88:J88"/>
    <mergeCell ref="A53:F53"/>
    <mergeCell ref="A60:F60"/>
    <mergeCell ref="A87:F87"/>
    <mergeCell ref="A9:J9"/>
    <mergeCell ref="A11:J11"/>
    <mergeCell ref="A2:J2"/>
    <mergeCell ref="A3:J3"/>
  </mergeCells>
  <pageMargins left="0.19685039370078741" right="0" top="0.19685039370078741" bottom="0.19685039370078741" header="0.31496062992125984" footer="0.31496062992125984"/>
  <pageSetup paperSize="9" scale="84" orientation="portrait" r:id="rId1"/>
  <rowBreaks count="1" manualBreakCount="1">
    <brk id="34" max="9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81"/>
  <sheetViews>
    <sheetView workbookViewId="0">
      <selection activeCell="A73" sqref="A73:XFD75"/>
    </sheetView>
  </sheetViews>
  <sheetFormatPr defaultColWidth="9.140625" defaultRowHeight="12.75" x14ac:dyDescent="0.2"/>
  <cols>
    <col min="1" max="1" width="10.28515625" style="11" customWidth="1"/>
    <col min="2" max="2" width="15.5703125" style="11" customWidth="1"/>
    <col min="3" max="3" width="14.42578125" style="11" customWidth="1"/>
    <col min="4" max="4" width="12.42578125" style="11" customWidth="1"/>
    <col min="5" max="5" width="11.42578125" style="11" customWidth="1"/>
    <col min="6" max="6" width="9.140625" style="11"/>
    <col min="7" max="7" width="7.28515625" style="11" customWidth="1"/>
    <col min="8" max="8" width="15.5703125" style="11" customWidth="1"/>
    <col min="9" max="9" width="14.42578125" style="11" customWidth="1"/>
    <col min="10" max="10" width="12.42578125" style="11" customWidth="1"/>
    <col min="11" max="11" width="11.42578125" style="11" customWidth="1"/>
    <col min="12" max="12" width="9.140625" style="11"/>
    <col min="13" max="13" width="7.28515625" style="11" customWidth="1"/>
    <col min="14" max="14" width="15.5703125" style="11" customWidth="1"/>
    <col min="15" max="15" width="14.42578125" style="11" customWidth="1"/>
    <col min="16" max="16" width="12.42578125" style="11" customWidth="1"/>
    <col min="17" max="17" width="11.42578125" style="11" customWidth="1"/>
    <col min="18" max="16384" width="9.140625" style="11"/>
  </cols>
  <sheetData>
    <row r="2" spans="1:17" ht="18.75" x14ac:dyDescent="0.3">
      <c r="A2" s="1001" t="s">
        <v>450</v>
      </c>
      <c r="B2" s="1001"/>
      <c r="C2" s="1001"/>
      <c r="D2" s="1001"/>
      <c r="G2" s="1001" t="s">
        <v>455</v>
      </c>
      <c r="H2" s="1001"/>
      <c r="I2" s="1001"/>
      <c r="J2" s="1001"/>
      <c r="M2" s="1001" t="s">
        <v>556</v>
      </c>
      <c r="N2" s="1001"/>
      <c r="O2" s="1001"/>
      <c r="P2" s="1001"/>
    </row>
    <row r="3" spans="1:17" ht="13.5" thickBot="1" x14ac:dyDescent="0.25">
      <c r="D3" s="11" t="s">
        <v>557</v>
      </c>
      <c r="E3" s="11" t="s">
        <v>90</v>
      </c>
      <c r="J3" s="11" t="s">
        <v>557</v>
      </c>
      <c r="K3" s="11" t="s">
        <v>90</v>
      </c>
      <c r="P3" s="11" t="s">
        <v>557</v>
      </c>
      <c r="Q3" s="11" t="s">
        <v>90</v>
      </c>
    </row>
    <row r="4" spans="1:17" ht="21.75" customHeight="1" thickBot="1" x14ac:dyDescent="0.3">
      <c r="A4" s="1083" t="s">
        <v>458</v>
      </c>
      <c r="B4" s="1083"/>
      <c r="C4" s="1083"/>
      <c r="D4" s="575"/>
      <c r="E4" s="576"/>
      <c r="G4" s="1083" t="s">
        <v>458</v>
      </c>
      <c r="H4" s="1083"/>
      <c r="I4" s="1083"/>
      <c r="J4" s="577">
        <f>D4</f>
        <v>0</v>
      </c>
      <c r="K4" s="611"/>
      <c r="M4" s="1083" t="s">
        <v>458</v>
      </c>
      <c r="N4" s="1083"/>
      <c r="O4" s="1083"/>
      <c r="P4" s="577">
        <f>J4</f>
        <v>0</v>
      </c>
      <c r="Q4" s="611"/>
    </row>
    <row r="5" spans="1:17" x14ac:dyDescent="0.2">
      <c r="A5" s="433" t="s">
        <v>110</v>
      </c>
      <c r="B5" s="433" t="s">
        <v>220</v>
      </c>
      <c r="C5" s="433" t="s">
        <v>90</v>
      </c>
      <c r="D5" s="578" t="s">
        <v>219</v>
      </c>
      <c r="E5" s="579">
        <v>1</v>
      </c>
      <c r="G5" s="433" t="s">
        <v>110</v>
      </c>
      <c r="H5" s="433" t="s">
        <v>220</v>
      </c>
      <c r="I5" s="433" t="s">
        <v>90</v>
      </c>
      <c r="J5" s="580" t="s">
        <v>219</v>
      </c>
      <c r="K5" s="611">
        <v>1</v>
      </c>
      <c r="M5" s="433" t="s">
        <v>110</v>
      </c>
      <c r="N5" s="433" t="s">
        <v>220</v>
      </c>
      <c r="O5" s="433" t="s">
        <v>90</v>
      </c>
      <c r="P5" s="580" t="s">
        <v>219</v>
      </c>
      <c r="Q5" s="611">
        <v>1</v>
      </c>
    </row>
    <row r="6" spans="1:17" s="583" customFormat="1" x14ac:dyDescent="0.2">
      <c r="A6" s="581"/>
      <c r="B6" s="582">
        <f>SUM(B7:B17)</f>
        <v>0</v>
      </c>
      <c r="C6" s="582">
        <f t="shared" ref="C6:D6" si="0">SUM(C7:C17)</f>
        <v>0</v>
      </c>
      <c r="D6" s="582">
        <f t="shared" si="0"/>
        <v>0</v>
      </c>
      <c r="E6" s="38" t="e">
        <f>ROUND(B6/$D$4,2)</f>
        <v>#DIV/0!</v>
      </c>
      <c r="G6" s="581"/>
      <c r="H6" s="582">
        <f>SUM(H7:H17)</f>
        <v>0</v>
      </c>
      <c r="I6" s="582">
        <f t="shared" ref="I6:J6" si="1">SUM(I7:I17)</f>
        <v>0</v>
      </c>
      <c r="J6" s="582">
        <f t="shared" si="1"/>
        <v>0</v>
      </c>
      <c r="K6" s="38" t="e">
        <f>ROUND(H6/$J$4,2)</f>
        <v>#DIV/0!</v>
      </c>
      <c r="M6" s="581"/>
      <c r="N6" s="582">
        <f>SUM(N7:N17)</f>
        <v>0</v>
      </c>
      <c r="O6" s="582">
        <f t="shared" ref="O6:P6" si="2">SUM(O7:O17)</f>
        <v>0</v>
      </c>
      <c r="P6" s="582">
        <f t="shared" si="2"/>
        <v>0</v>
      </c>
      <c r="Q6" s="38" t="e">
        <f>ROUND(N6/$P$4,2)</f>
        <v>#DIV/0!</v>
      </c>
    </row>
    <row r="7" spans="1:17" x14ac:dyDescent="0.2">
      <c r="A7" s="433" t="s">
        <v>451</v>
      </c>
      <c r="B7" s="584"/>
      <c r="C7" s="585">
        <f>свод!N10+свод!N28</f>
        <v>0</v>
      </c>
      <c r="D7" s="585">
        <f t="shared" ref="D7:D29" si="3">B7-C7</f>
        <v>0</v>
      </c>
      <c r="E7" s="38" t="e">
        <f>ROUND(B7/$D$4,2)</f>
        <v>#DIV/0!</v>
      </c>
      <c r="G7" s="433">
        <v>211</v>
      </c>
      <c r="H7" s="584"/>
      <c r="I7" s="585"/>
      <c r="J7" s="585">
        <f t="shared" ref="J7:J15" si="4">H7-I7</f>
        <v>0</v>
      </c>
      <c r="K7" s="38" t="e">
        <f t="shared" ref="K7:K15" si="5">ROUND(H7/$J$4,2)</f>
        <v>#DIV/0!</v>
      </c>
      <c r="M7" s="433">
        <v>211</v>
      </c>
      <c r="N7" s="584"/>
      <c r="O7" s="585"/>
      <c r="P7" s="585">
        <f t="shared" ref="P7:P15" si="6">N7-O7</f>
        <v>0</v>
      </c>
      <c r="Q7" s="38" t="e">
        <f t="shared" ref="Q7:Q15" si="7">ROUND(N7/$P$4,2)</f>
        <v>#DIV/0!</v>
      </c>
    </row>
    <row r="8" spans="1:17" x14ac:dyDescent="0.2">
      <c r="A8" s="433">
        <v>266</v>
      </c>
      <c r="B8" s="584"/>
      <c r="C8" s="585">
        <f>свод!N31</f>
        <v>0</v>
      </c>
      <c r="D8" s="585">
        <f t="shared" si="3"/>
        <v>0</v>
      </c>
      <c r="E8" s="38" t="e">
        <f t="shared" ref="E8:E14" si="8">ROUND(B8/$D$4,2)</f>
        <v>#DIV/0!</v>
      </c>
      <c r="G8" s="433">
        <v>266</v>
      </c>
      <c r="H8" s="584"/>
      <c r="I8" s="585"/>
      <c r="J8" s="585">
        <f t="shared" si="4"/>
        <v>0</v>
      </c>
      <c r="K8" s="38" t="e">
        <f t="shared" si="5"/>
        <v>#DIV/0!</v>
      </c>
      <c r="M8" s="433">
        <v>266</v>
      </c>
      <c r="N8" s="584"/>
      <c r="O8" s="585"/>
      <c r="P8" s="585">
        <f t="shared" si="6"/>
        <v>0</v>
      </c>
      <c r="Q8" s="38" t="e">
        <f t="shared" si="7"/>
        <v>#DIV/0!</v>
      </c>
    </row>
    <row r="9" spans="1:17" x14ac:dyDescent="0.2">
      <c r="A9" s="433" t="s">
        <v>452</v>
      </c>
      <c r="B9" s="584"/>
      <c r="C9" s="585">
        <f>свод!N30+свод!N11</f>
        <v>0</v>
      </c>
      <c r="D9" s="585">
        <f t="shared" si="3"/>
        <v>0</v>
      </c>
      <c r="E9" s="38" t="e">
        <f t="shared" si="8"/>
        <v>#DIV/0!</v>
      </c>
      <c r="G9" s="433">
        <v>213</v>
      </c>
      <c r="H9" s="584"/>
      <c r="I9" s="585"/>
      <c r="J9" s="585">
        <f t="shared" si="4"/>
        <v>0</v>
      </c>
      <c r="K9" s="38" t="e">
        <f t="shared" si="5"/>
        <v>#DIV/0!</v>
      </c>
      <c r="M9" s="433">
        <v>213</v>
      </c>
      <c r="N9" s="584"/>
      <c r="O9" s="585"/>
      <c r="P9" s="585">
        <f t="shared" si="6"/>
        <v>0</v>
      </c>
      <c r="Q9" s="38" t="e">
        <f t="shared" si="7"/>
        <v>#DIV/0!</v>
      </c>
    </row>
    <row r="10" spans="1:17" x14ac:dyDescent="0.2">
      <c r="A10" s="433">
        <v>221</v>
      </c>
      <c r="B10" s="584"/>
      <c r="C10" s="585">
        <f>свод!N67</f>
        <v>0</v>
      </c>
      <c r="D10" s="585">
        <f t="shared" si="3"/>
        <v>0</v>
      </c>
      <c r="E10" s="38" t="e">
        <f t="shared" si="8"/>
        <v>#DIV/0!</v>
      </c>
      <c r="G10" s="433">
        <v>221</v>
      </c>
      <c r="H10" s="584"/>
      <c r="I10" s="585"/>
      <c r="J10" s="585">
        <f t="shared" si="4"/>
        <v>0</v>
      </c>
      <c r="K10" s="38" t="e">
        <f t="shared" si="5"/>
        <v>#DIV/0!</v>
      </c>
      <c r="M10" s="433">
        <v>221</v>
      </c>
      <c r="N10" s="584"/>
      <c r="O10" s="585"/>
      <c r="P10" s="585">
        <f t="shared" si="6"/>
        <v>0</v>
      </c>
      <c r="Q10" s="38" t="e">
        <f t="shared" si="7"/>
        <v>#DIV/0!</v>
      </c>
    </row>
    <row r="11" spans="1:17" x14ac:dyDescent="0.2">
      <c r="A11" s="433">
        <v>223</v>
      </c>
      <c r="B11" s="584"/>
      <c r="C11" s="585">
        <f>свод!N104</f>
        <v>0</v>
      </c>
      <c r="D11" s="585">
        <f t="shared" si="3"/>
        <v>0</v>
      </c>
      <c r="E11" s="38" t="e">
        <f t="shared" si="8"/>
        <v>#DIV/0!</v>
      </c>
      <c r="G11" s="433">
        <v>223</v>
      </c>
      <c r="H11" s="584"/>
      <c r="I11" s="585"/>
      <c r="J11" s="585">
        <f t="shared" si="4"/>
        <v>0</v>
      </c>
      <c r="K11" s="38" t="e">
        <f t="shared" si="5"/>
        <v>#DIV/0!</v>
      </c>
      <c r="M11" s="433">
        <v>223</v>
      </c>
      <c r="N11" s="584"/>
      <c r="O11" s="585"/>
      <c r="P11" s="585">
        <f t="shared" si="6"/>
        <v>0</v>
      </c>
      <c r="Q11" s="38" t="e">
        <f t="shared" si="7"/>
        <v>#DIV/0!</v>
      </c>
    </row>
    <row r="12" spans="1:17" x14ac:dyDescent="0.2">
      <c r="A12" s="433">
        <v>225</v>
      </c>
      <c r="B12" s="584"/>
      <c r="C12" s="585">
        <f>свод!N63-C15</f>
        <v>0</v>
      </c>
      <c r="D12" s="585">
        <f t="shared" si="3"/>
        <v>0</v>
      </c>
      <c r="E12" s="38" t="e">
        <f t="shared" si="8"/>
        <v>#DIV/0!</v>
      </c>
      <c r="G12" s="433">
        <v>225</v>
      </c>
      <c r="H12" s="584"/>
      <c r="I12" s="585"/>
      <c r="J12" s="585">
        <f t="shared" si="4"/>
        <v>0</v>
      </c>
      <c r="K12" s="38" t="e">
        <f t="shared" si="5"/>
        <v>#DIV/0!</v>
      </c>
      <c r="M12" s="433">
        <v>225</v>
      </c>
      <c r="N12" s="584"/>
      <c r="O12" s="585"/>
      <c r="P12" s="585">
        <f t="shared" si="6"/>
        <v>0</v>
      </c>
      <c r="Q12" s="38" t="e">
        <f t="shared" si="7"/>
        <v>#DIV/0!</v>
      </c>
    </row>
    <row r="13" spans="1:17" x14ac:dyDescent="0.2">
      <c r="A13" s="433">
        <v>226</v>
      </c>
      <c r="B13" s="584"/>
      <c r="C13" s="585">
        <f>свод!N78</f>
        <v>0</v>
      </c>
      <c r="D13" s="585">
        <f t="shared" si="3"/>
        <v>0</v>
      </c>
      <c r="E13" s="38" t="e">
        <f t="shared" si="8"/>
        <v>#DIV/0!</v>
      </c>
      <c r="G13" s="433">
        <v>226</v>
      </c>
      <c r="H13" s="584"/>
      <c r="I13" s="585"/>
      <c r="J13" s="585">
        <f t="shared" si="4"/>
        <v>0</v>
      </c>
      <c r="K13" s="38" t="e">
        <f t="shared" si="5"/>
        <v>#DIV/0!</v>
      </c>
      <c r="M13" s="433">
        <v>226</v>
      </c>
      <c r="N13" s="584"/>
      <c r="O13" s="585"/>
      <c r="P13" s="585">
        <f t="shared" si="6"/>
        <v>0</v>
      </c>
      <c r="Q13" s="38" t="e">
        <f t="shared" si="7"/>
        <v>#DIV/0!</v>
      </c>
    </row>
    <row r="14" spans="1:17" x14ac:dyDescent="0.2">
      <c r="A14" s="433">
        <v>291</v>
      </c>
      <c r="B14" s="584"/>
      <c r="C14" s="585">
        <f>свод!N115</f>
        <v>0</v>
      </c>
      <c r="D14" s="585">
        <f t="shared" si="3"/>
        <v>0</v>
      </c>
      <c r="E14" s="38" t="e">
        <f t="shared" si="8"/>
        <v>#DIV/0!</v>
      </c>
      <c r="G14" s="433">
        <v>291</v>
      </c>
      <c r="H14" s="584"/>
      <c r="I14" s="585"/>
      <c r="J14" s="585">
        <f t="shared" si="4"/>
        <v>0</v>
      </c>
      <c r="K14" s="38" t="e">
        <f t="shared" si="5"/>
        <v>#DIV/0!</v>
      </c>
      <c r="M14" s="433">
        <v>291</v>
      </c>
      <c r="N14" s="584"/>
      <c r="O14" s="585"/>
      <c r="P14" s="585">
        <f t="shared" si="6"/>
        <v>0</v>
      </c>
      <c r="Q14" s="38" t="e">
        <f t="shared" si="7"/>
        <v>#DIV/0!</v>
      </c>
    </row>
    <row r="15" spans="1:17" x14ac:dyDescent="0.2">
      <c r="A15" s="433" t="s">
        <v>461</v>
      </c>
      <c r="B15" s="584"/>
      <c r="C15" s="585">
        <f>'прил.3 фок'!B59</f>
        <v>0</v>
      </c>
      <c r="D15" s="585">
        <f t="shared" si="3"/>
        <v>0</v>
      </c>
      <c r="E15" s="38" t="e">
        <f>ROUND(B15/$D$4,2)</f>
        <v>#DIV/0!</v>
      </c>
      <c r="G15" s="433" t="s">
        <v>461</v>
      </c>
      <c r="H15" s="584"/>
      <c r="I15" s="585"/>
      <c r="J15" s="585">
        <f t="shared" si="4"/>
        <v>0</v>
      </c>
      <c r="K15" s="38" t="e">
        <f t="shared" si="5"/>
        <v>#DIV/0!</v>
      </c>
      <c r="M15" s="433" t="s">
        <v>461</v>
      </c>
      <c r="N15" s="584"/>
      <c r="O15" s="585"/>
      <c r="P15" s="585">
        <f t="shared" si="6"/>
        <v>0</v>
      </c>
      <c r="Q15" s="38" t="e">
        <f t="shared" si="7"/>
        <v>#DIV/0!</v>
      </c>
    </row>
    <row r="16" spans="1:17" x14ac:dyDescent="0.2">
      <c r="A16" s="581" t="s">
        <v>306</v>
      </c>
      <c r="B16" s="586"/>
      <c r="C16" s="582">
        <f>'прил.1+2 фок'!D25+'прил.1+2 фок'!D59</f>
        <v>0</v>
      </c>
      <c r="D16" s="585">
        <f t="shared" si="3"/>
        <v>0</v>
      </c>
      <c r="E16" s="38" t="e">
        <f>ROUND(B16/$D$4,2)</f>
        <v>#DIV/0!</v>
      </c>
      <c r="G16" s="581" t="s">
        <v>306</v>
      </c>
      <c r="H16" s="586"/>
      <c r="I16" s="582">
        <f>'свод  фок'!L39+'свод  фок'!L80+'свод  фок'!L86+'свод  фок'!L88+'свод  фок'!L102+'свод  фок'!L40</f>
        <v>0</v>
      </c>
      <c r="J16" s="582">
        <f>H16-I16</f>
        <v>0</v>
      </c>
      <c r="K16" s="38" t="e">
        <f>ROUND(H16/$D$4,2)</f>
        <v>#DIV/0!</v>
      </c>
      <c r="M16" s="581" t="s">
        <v>306</v>
      </c>
      <c r="N16" s="586"/>
      <c r="O16" s="582">
        <f>'свод  фок'!R39+'свод  фок'!R80+'свод  фок'!R86+'свод  фок'!R88+'свод  фок'!R102+'свод  фок'!R40</f>
        <v>0</v>
      </c>
      <c r="P16" s="582">
        <f>N16-O16</f>
        <v>0</v>
      </c>
      <c r="Q16" s="38" t="e">
        <f>ROUND(N16/$D$4,2)</f>
        <v>#DIV/0!</v>
      </c>
    </row>
    <row r="17" spans="1:17" x14ac:dyDescent="0.2">
      <c r="A17" s="581" t="s">
        <v>307</v>
      </c>
      <c r="B17" s="586"/>
      <c r="C17" s="582">
        <f>'прил.1+2 фок'!D26+'прил.1+2 фок'!D60</f>
        <v>0</v>
      </c>
      <c r="D17" s="585">
        <f t="shared" si="3"/>
        <v>0</v>
      </c>
      <c r="E17" s="38" t="e">
        <f>ROUND(B17/$D$4,2)</f>
        <v>#DIV/0!</v>
      </c>
      <c r="G17" s="581" t="s">
        <v>307</v>
      </c>
      <c r="H17" s="586"/>
      <c r="I17" s="582">
        <f>'свод  фок'!L99+'свод  фок'!L18+'свод  фок'!L77+'свод  фок'!L78</f>
        <v>0</v>
      </c>
      <c r="J17" s="582">
        <f t="shared" ref="J17" si="9">H17-I17</f>
        <v>0</v>
      </c>
      <c r="K17" s="38" t="e">
        <f>ROUND(H17/$D$4,2)</f>
        <v>#DIV/0!</v>
      </c>
      <c r="M17" s="581" t="s">
        <v>307</v>
      </c>
      <c r="N17" s="586"/>
      <c r="O17" s="582">
        <f>'свод  фок'!R99+'свод  фок'!R18+'свод  фок'!R77+'свод  фок'!R78</f>
        <v>0</v>
      </c>
      <c r="P17" s="582">
        <f t="shared" ref="P17" si="10">N17-O17</f>
        <v>0</v>
      </c>
      <c r="Q17" s="38" t="e">
        <f>ROUND(N17/$D$4,2)</f>
        <v>#DIV/0!</v>
      </c>
    </row>
    <row r="18" spans="1:17" ht="16.5" hidden="1" thickBot="1" x14ac:dyDescent="0.3">
      <c r="A18" s="1083" t="s">
        <v>453</v>
      </c>
      <c r="B18" s="1083"/>
      <c r="C18" s="1083"/>
      <c r="D18" s="577"/>
      <c r="G18" s="1083" t="s">
        <v>453</v>
      </c>
      <c r="H18" s="1083"/>
      <c r="I18" s="1083"/>
      <c r="J18" s="577"/>
      <c r="M18" s="1083" t="s">
        <v>453</v>
      </c>
      <c r="N18" s="1083"/>
      <c r="O18" s="1083"/>
      <c r="P18" s="577"/>
    </row>
    <row r="19" spans="1:17" hidden="1" x14ac:dyDescent="0.2">
      <c r="A19" s="433" t="s">
        <v>110</v>
      </c>
      <c r="B19" s="433" t="s">
        <v>220</v>
      </c>
      <c r="C19" s="433" t="s">
        <v>90</v>
      </c>
      <c r="D19" s="580" t="s">
        <v>219</v>
      </c>
      <c r="G19" s="433" t="s">
        <v>110</v>
      </c>
      <c r="H19" s="433" t="s">
        <v>220</v>
      </c>
      <c r="I19" s="433" t="s">
        <v>90</v>
      </c>
      <c r="J19" s="580" t="s">
        <v>219</v>
      </c>
      <c r="M19" s="433" t="s">
        <v>110</v>
      </c>
      <c r="N19" s="433" t="s">
        <v>220</v>
      </c>
      <c r="O19" s="433" t="s">
        <v>90</v>
      </c>
      <c r="P19" s="580" t="s">
        <v>219</v>
      </c>
    </row>
    <row r="20" spans="1:17" hidden="1" x14ac:dyDescent="0.2">
      <c r="A20" s="581"/>
      <c r="B20" s="582">
        <f>SUM(B21:B29)</f>
        <v>0</v>
      </c>
      <c r="C20" s="582" t="e">
        <f>SUM(C21:C29)</f>
        <v>#DIV/0!</v>
      </c>
      <c r="D20" s="585" t="e">
        <f t="shared" si="3"/>
        <v>#DIV/0!</v>
      </c>
      <c r="E20" s="38" t="e">
        <f>ROUND(B20/$D$18,2)</f>
        <v>#DIV/0!</v>
      </c>
      <c r="G20" s="581"/>
      <c r="H20" s="582">
        <f>SUM(H21:H29)</f>
        <v>0</v>
      </c>
      <c r="I20" s="582">
        <f>SUM(I21:I29)</f>
        <v>0</v>
      </c>
      <c r="J20" s="582">
        <f>SUM(J21:J29)</f>
        <v>0</v>
      </c>
      <c r="K20" s="587" t="e">
        <f>SUM(K21:K29)</f>
        <v>#DIV/0!</v>
      </c>
      <c r="M20" s="581"/>
      <c r="N20" s="582">
        <f>SUM(N21:N29)</f>
        <v>0</v>
      </c>
      <c r="O20" s="582">
        <f>SUM(O21:O29)</f>
        <v>0</v>
      </c>
      <c r="P20" s="582">
        <f>SUM(P21:P29)</f>
        <v>0</v>
      </c>
      <c r="Q20" s="38" t="e">
        <f>SUM(Q21:Q29)</f>
        <v>#DIV/0!</v>
      </c>
    </row>
    <row r="21" spans="1:17" hidden="1" x14ac:dyDescent="0.2">
      <c r="A21" s="433">
        <v>211</v>
      </c>
      <c r="B21" s="588"/>
      <c r="C21" s="585" t="e">
        <f>'свод  фок'!H12+'свод  фок'!H20</f>
        <v>#DIV/0!</v>
      </c>
      <c r="D21" s="585" t="e">
        <f t="shared" si="3"/>
        <v>#DIV/0!</v>
      </c>
      <c r="E21" s="38" t="e">
        <f t="shared" ref="E21:E29" si="11">ROUND(B21/$D$18,2)</f>
        <v>#DIV/0!</v>
      </c>
      <c r="G21" s="433">
        <v>211</v>
      </c>
      <c r="H21" s="588"/>
      <c r="I21" s="585"/>
      <c r="J21" s="585">
        <f t="shared" ref="J21:J29" si="12">H21-I21</f>
        <v>0</v>
      </c>
      <c r="K21" s="38" t="e">
        <f>ROUND(H21/$J$18,2)</f>
        <v>#DIV/0!</v>
      </c>
      <c r="M21" s="433">
        <v>211</v>
      </c>
      <c r="N21" s="588"/>
      <c r="O21" s="585"/>
      <c r="P21" s="585">
        <f t="shared" ref="P21:P29" si="13">N21-O21</f>
        <v>0</v>
      </c>
      <c r="Q21" s="38" t="e">
        <f>ROUND(N21/$P$18,2)</f>
        <v>#DIV/0!</v>
      </c>
    </row>
    <row r="22" spans="1:17" hidden="1" x14ac:dyDescent="0.2">
      <c r="A22" s="433">
        <v>212</v>
      </c>
      <c r="B22" s="588"/>
      <c r="C22" s="585"/>
      <c r="D22" s="585">
        <f t="shared" si="3"/>
        <v>0</v>
      </c>
      <c r="E22" s="38" t="e">
        <f t="shared" si="11"/>
        <v>#DIV/0!</v>
      </c>
      <c r="G22" s="433">
        <v>212</v>
      </c>
      <c r="H22" s="588"/>
      <c r="I22" s="585"/>
      <c r="J22" s="585">
        <f t="shared" si="12"/>
        <v>0</v>
      </c>
      <c r="K22" s="38" t="e">
        <f t="shared" ref="K22:K29" si="14">ROUND(H22/$J$18,2)</f>
        <v>#DIV/0!</v>
      </c>
      <c r="M22" s="433">
        <v>212</v>
      </c>
      <c r="N22" s="588"/>
      <c r="O22" s="585"/>
      <c r="P22" s="585">
        <f t="shared" si="13"/>
        <v>0</v>
      </c>
      <c r="Q22" s="38" t="e">
        <f t="shared" ref="Q22:Q29" si="15">ROUND(N22/$P$18,2)</f>
        <v>#DIV/0!</v>
      </c>
    </row>
    <row r="23" spans="1:17" hidden="1" x14ac:dyDescent="0.2">
      <c r="A23" s="433">
        <v>213</v>
      </c>
      <c r="B23" s="588"/>
      <c r="C23" s="585" t="e">
        <f>'свод  фок'!H14+'свод  фок'!H22</f>
        <v>#DIV/0!</v>
      </c>
      <c r="D23" s="585" t="e">
        <f t="shared" si="3"/>
        <v>#DIV/0!</v>
      </c>
      <c r="E23" s="38" t="e">
        <f t="shared" si="11"/>
        <v>#DIV/0!</v>
      </c>
      <c r="G23" s="433">
        <v>213</v>
      </c>
      <c r="H23" s="588"/>
      <c r="I23" s="585"/>
      <c r="J23" s="585">
        <f t="shared" si="12"/>
        <v>0</v>
      </c>
      <c r="K23" s="38" t="e">
        <f t="shared" si="14"/>
        <v>#DIV/0!</v>
      </c>
      <c r="M23" s="433">
        <v>213</v>
      </c>
      <c r="N23" s="588"/>
      <c r="O23" s="585"/>
      <c r="P23" s="585">
        <f t="shared" si="13"/>
        <v>0</v>
      </c>
      <c r="Q23" s="38" t="e">
        <f t="shared" si="15"/>
        <v>#DIV/0!</v>
      </c>
    </row>
    <row r="24" spans="1:17" hidden="1" x14ac:dyDescent="0.2">
      <c r="A24" s="433">
        <v>221</v>
      </c>
      <c r="B24" s="588"/>
      <c r="C24" s="585">
        <f>'свод  фок'!H47</f>
        <v>0</v>
      </c>
      <c r="D24" s="585">
        <f t="shared" si="3"/>
        <v>0</v>
      </c>
      <c r="E24" s="38" t="e">
        <f t="shared" si="11"/>
        <v>#DIV/0!</v>
      </c>
      <c r="G24" s="433">
        <v>221</v>
      </c>
      <c r="H24" s="588"/>
      <c r="I24" s="585"/>
      <c r="J24" s="585">
        <f t="shared" si="12"/>
        <v>0</v>
      </c>
      <c r="K24" s="38" t="e">
        <f t="shared" si="14"/>
        <v>#DIV/0!</v>
      </c>
      <c r="M24" s="433">
        <v>221</v>
      </c>
      <c r="N24" s="588"/>
      <c r="O24" s="585"/>
      <c r="P24" s="585">
        <f t="shared" si="13"/>
        <v>0</v>
      </c>
      <c r="Q24" s="38" t="e">
        <f t="shared" si="15"/>
        <v>#DIV/0!</v>
      </c>
    </row>
    <row r="25" spans="1:17" hidden="1" x14ac:dyDescent="0.2">
      <c r="A25" s="433">
        <v>222</v>
      </c>
      <c r="B25" s="588"/>
      <c r="C25" s="585">
        <f>'свод  фок'!H72</f>
        <v>0</v>
      </c>
      <c r="D25" s="585">
        <f t="shared" si="3"/>
        <v>0</v>
      </c>
      <c r="E25" s="38" t="e">
        <f t="shared" si="11"/>
        <v>#DIV/0!</v>
      </c>
      <c r="G25" s="433">
        <v>222</v>
      </c>
      <c r="H25" s="588"/>
      <c r="I25" s="585"/>
      <c r="J25" s="585">
        <f t="shared" si="12"/>
        <v>0</v>
      </c>
      <c r="K25" s="38" t="e">
        <f t="shared" si="14"/>
        <v>#DIV/0!</v>
      </c>
      <c r="M25" s="433">
        <v>222</v>
      </c>
      <c r="N25" s="588"/>
      <c r="O25" s="585"/>
      <c r="P25" s="585">
        <f t="shared" si="13"/>
        <v>0</v>
      </c>
      <c r="Q25" s="38" t="e">
        <f t="shared" si="15"/>
        <v>#DIV/0!</v>
      </c>
    </row>
    <row r="26" spans="1:17" hidden="1" x14ac:dyDescent="0.2">
      <c r="A26" s="433">
        <v>225</v>
      </c>
      <c r="B26" s="588"/>
      <c r="C26" s="585">
        <f>'свод  фок'!H27+'свод  фок'!H38+'свод  фок'!H75</f>
        <v>0</v>
      </c>
      <c r="D26" s="585">
        <f t="shared" si="3"/>
        <v>0</v>
      </c>
      <c r="E26" s="38" t="e">
        <f t="shared" si="11"/>
        <v>#DIV/0!</v>
      </c>
      <c r="G26" s="433">
        <v>225</v>
      </c>
      <c r="H26" s="588"/>
      <c r="I26" s="585"/>
      <c r="J26" s="585">
        <f t="shared" si="12"/>
        <v>0</v>
      </c>
      <c r="K26" s="38" t="e">
        <f t="shared" si="14"/>
        <v>#DIV/0!</v>
      </c>
      <c r="M26" s="433">
        <v>225</v>
      </c>
      <c r="N26" s="588"/>
      <c r="O26" s="585"/>
      <c r="P26" s="585">
        <f t="shared" si="13"/>
        <v>0</v>
      </c>
      <c r="Q26" s="38" t="e">
        <f t="shared" si="15"/>
        <v>#DIV/0!</v>
      </c>
    </row>
    <row r="27" spans="1:17" hidden="1" x14ac:dyDescent="0.2">
      <c r="A27" s="433">
        <v>226</v>
      </c>
      <c r="B27" s="588"/>
      <c r="C27" s="585">
        <f>'свод  фок'!H77+'свод  фок'!H80+'свод  фок'!H39</f>
        <v>0</v>
      </c>
      <c r="D27" s="585">
        <f t="shared" si="3"/>
        <v>0</v>
      </c>
      <c r="E27" s="38" t="e">
        <f t="shared" si="11"/>
        <v>#DIV/0!</v>
      </c>
      <c r="G27" s="433">
        <v>226</v>
      </c>
      <c r="H27" s="588"/>
      <c r="I27" s="585"/>
      <c r="J27" s="585">
        <f t="shared" si="12"/>
        <v>0</v>
      </c>
      <c r="K27" s="38" t="e">
        <f t="shared" si="14"/>
        <v>#DIV/0!</v>
      </c>
      <c r="M27" s="433">
        <v>226</v>
      </c>
      <c r="N27" s="588"/>
      <c r="O27" s="585"/>
      <c r="P27" s="585">
        <f t="shared" si="13"/>
        <v>0</v>
      </c>
      <c r="Q27" s="38" t="e">
        <f t="shared" si="15"/>
        <v>#DIV/0!</v>
      </c>
    </row>
    <row r="28" spans="1:17" hidden="1" x14ac:dyDescent="0.2">
      <c r="A28" s="433">
        <v>290</v>
      </c>
      <c r="B28" s="588"/>
      <c r="C28" s="585">
        <f>'свод  фок'!H79</f>
        <v>0</v>
      </c>
      <c r="D28" s="585">
        <f t="shared" si="3"/>
        <v>0</v>
      </c>
      <c r="E28" s="38" t="e">
        <f t="shared" si="11"/>
        <v>#DIV/0!</v>
      </c>
      <c r="G28" s="433">
        <v>290</v>
      </c>
      <c r="H28" s="588"/>
      <c r="I28" s="585"/>
      <c r="J28" s="585">
        <f t="shared" si="12"/>
        <v>0</v>
      </c>
      <c r="K28" s="38" t="e">
        <f>ROUND(H28/$J$18,2)</f>
        <v>#DIV/0!</v>
      </c>
      <c r="M28" s="433">
        <v>290</v>
      </c>
      <c r="N28" s="588"/>
      <c r="O28" s="585"/>
      <c r="P28" s="585">
        <f t="shared" si="13"/>
        <v>0</v>
      </c>
      <c r="Q28" s="38" t="e">
        <f t="shared" si="15"/>
        <v>#DIV/0!</v>
      </c>
    </row>
    <row r="29" spans="1:17" hidden="1" x14ac:dyDescent="0.2">
      <c r="A29" s="433">
        <v>340</v>
      </c>
      <c r="B29" s="588"/>
      <c r="C29" s="585">
        <f>'свод  фок'!H16</f>
        <v>0</v>
      </c>
      <c r="D29" s="585">
        <f t="shared" si="3"/>
        <v>0</v>
      </c>
      <c r="E29" s="38" t="e">
        <f t="shared" si="11"/>
        <v>#DIV/0!</v>
      </c>
      <c r="G29" s="433">
        <v>340</v>
      </c>
      <c r="H29" s="588"/>
      <c r="I29" s="585"/>
      <c r="J29" s="585">
        <f t="shared" si="12"/>
        <v>0</v>
      </c>
      <c r="K29" s="38" t="e">
        <f t="shared" si="14"/>
        <v>#DIV/0!</v>
      </c>
      <c r="M29" s="433">
        <v>340</v>
      </c>
      <c r="N29" s="588"/>
      <c r="O29" s="585"/>
      <c r="P29" s="585">
        <f t="shared" si="13"/>
        <v>0</v>
      </c>
      <c r="Q29" s="38" t="e">
        <f t="shared" si="15"/>
        <v>#DIV/0!</v>
      </c>
    </row>
    <row r="30" spans="1:17" hidden="1" x14ac:dyDescent="0.2">
      <c r="B30" s="269">
        <f>B7+B8+B9+B10+B11+B12+B13+B15+'прил.3 фок'!F83</f>
        <v>0</v>
      </c>
      <c r="C30" s="11">
        <f>ROUND(D4*E4*E5,0)</f>
        <v>0</v>
      </c>
      <c r="D30" s="269">
        <f>C30-B30</f>
        <v>0</v>
      </c>
    </row>
    <row r="31" spans="1:17" ht="13.5" thickBot="1" x14ac:dyDescent="0.25"/>
    <row r="32" spans="1:17" ht="16.5" thickBot="1" x14ac:dyDescent="0.3">
      <c r="A32" s="1083" t="s">
        <v>454</v>
      </c>
      <c r="B32" s="1083"/>
      <c r="C32" s="1083"/>
      <c r="D32" s="589"/>
      <c r="G32" s="1083" t="s">
        <v>454</v>
      </c>
      <c r="H32" s="1083"/>
      <c r="I32" s="1083"/>
      <c r="J32" s="589">
        <f>D32</f>
        <v>0</v>
      </c>
      <c r="M32" s="1083" t="s">
        <v>454</v>
      </c>
      <c r="N32" s="1083"/>
      <c r="O32" s="1083"/>
      <c r="P32" s="589">
        <f>D32</f>
        <v>0</v>
      </c>
    </row>
    <row r="33" spans="1:17" x14ac:dyDescent="0.2">
      <c r="A33" s="433" t="s">
        <v>110</v>
      </c>
      <c r="B33" s="433" t="s">
        <v>220</v>
      </c>
      <c r="C33" s="433" t="s">
        <v>90</v>
      </c>
      <c r="D33" s="580" t="s">
        <v>219</v>
      </c>
      <c r="G33" s="433" t="s">
        <v>110</v>
      </c>
      <c r="H33" s="433" t="s">
        <v>220</v>
      </c>
      <c r="I33" s="433" t="s">
        <v>90</v>
      </c>
      <c r="J33" s="580" t="s">
        <v>219</v>
      </c>
      <c r="M33" s="433" t="s">
        <v>110</v>
      </c>
      <c r="N33" s="433" t="s">
        <v>220</v>
      </c>
      <c r="O33" s="433" t="s">
        <v>90</v>
      </c>
      <c r="P33" s="580" t="s">
        <v>219</v>
      </c>
    </row>
    <row r="34" spans="1:17" x14ac:dyDescent="0.2">
      <c r="A34" s="581"/>
      <c r="B34" s="582">
        <f>SUM(B35:B43)</f>
        <v>0</v>
      </c>
      <c r="C34" s="582">
        <f>SUM(C35:C43)</f>
        <v>0</v>
      </c>
      <c r="D34" s="582">
        <f>SUM(D35:D43)</f>
        <v>0</v>
      </c>
      <c r="E34" s="38" t="e">
        <f>SUM(E39:E43)</f>
        <v>#DIV/0!</v>
      </c>
      <c r="G34" s="581"/>
      <c r="H34" s="582"/>
      <c r="I34" s="582">
        <f>SUM(I35:I43)</f>
        <v>0</v>
      </c>
      <c r="J34" s="582">
        <f>SUM(J35:J43)</f>
        <v>0</v>
      </c>
      <c r="K34" s="38" t="e">
        <f>SUM(K39:K43)</f>
        <v>#DIV/0!</v>
      </c>
      <c r="M34" s="581"/>
      <c r="N34" s="582"/>
      <c r="O34" s="582">
        <f>SUM(O35:O43)</f>
        <v>0</v>
      </c>
      <c r="P34" s="582">
        <f>SUM(P35:P43)</f>
        <v>0</v>
      </c>
      <c r="Q34" s="38" t="e">
        <f>SUM(Q39:Q43)</f>
        <v>#DIV/0!</v>
      </c>
    </row>
    <row r="35" spans="1:17" x14ac:dyDescent="0.2">
      <c r="A35" s="433">
        <v>211</v>
      </c>
      <c r="B35" s="584"/>
      <c r="C35" s="585">
        <f>'свод  фок'!H26+'свод  фок'!H40</f>
        <v>0</v>
      </c>
      <c r="D35" s="585">
        <f t="shared" ref="D35:D43" si="16">B35-C35</f>
        <v>0</v>
      </c>
      <c r="E35" s="38" t="e">
        <f t="shared" ref="E35:E38" si="17">ROUND(B35/$D$18,2)</f>
        <v>#DIV/0!</v>
      </c>
      <c r="G35" s="433">
        <v>211</v>
      </c>
      <c r="H35" s="584"/>
      <c r="I35" s="585">
        <f>'свод  фок'!N26+'свод  фок'!N40</f>
        <v>0</v>
      </c>
      <c r="J35" s="585">
        <f t="shared" ref="J35:J43" si="18">H35-I35</f>
        <v>0</v>
      </c>
      <c r="K35" s="38" t="e">
        <f t="shared" ref="K35:K38" si="19">ROUND(H35/$D$18,2)</f>
        <v>#DIV/0!</v>
      </c>
      <c r="M35" s="433">
        <v>211</v>
      </c>
      <c r="N35" s="584"/>
      <c r="O35" s="585">
        <f>'свод  фок'!T26+'свод  фок'!T40</f>
        <v>0</v>
      </c>
      <c r="P35" s="585">
        <f t="shared" ref="P35:P43" si="20">N35-O35</f>
        <v>0</v>
      </c>
      <c r="Q35" s="38" t="e">
        <f t="shared" ref="Q35:Q38" si="21">ROUND(N35/$D$18,2)</f>
        <v>#DIV/0!</v>
      </c>
    </row>
    <row r="36" spans="1:17" x14ac:dyDescent="0.2">
      <c r="A36" s="433">
        <v>212</v>
      </c>
      <c r="B36" s="584"/>
      <c r="C36" s="585"/>
      <c r="D36" s="585">
        <f t="shared" si="16"/>
        <v>0</v>
      </c>
      <c r="E36" s="38" t="e">
        <f t="shared" si="17"/>
        <v>#DIV/0!</v>
      </c>
      <c r="G36" s="433">
        <v>212</v>
      </c>
      <c r="H36" s="584"/>
      <c r="I36" s="585"/>
      <c r="J36" s="585">
        <f t="shared" si="18"/>
        <v>0</v>
      </c>
      <c r="K36" s="38" t="e">
        <f t="shared" si="19"/>
        <v>#DIV/0!</v>
      </c>
      <c r="M36" s="433">
        <v>212</v>
      </c>
      <c r="N36" s="584"/>
      <c r="O36" s="585"/>
      <c r="P36" s="585">
        <f t="shared" si="20"/>
        <v>0</v>
      </c>
      <c r="Q36" s="38" t="e">
        <f t="shared" si="21"/>
        <v>#DIV/0!</v>
      </c>
    </row>
    <row r="37" spans="1:17" x14ac:dyDescent="0.2">
      <c r="A37" s="433">
        <v>213</v>
      </c>
      <c r="B37" s="584"/>
      <c r="C37" s="585">
        <f>'свод  фок'!H28+'свод  фок'!H46</f>
        <v>0</v>
      </c>
      <c r="D37" s="585">
        <f t="shared" si="16"/>
        <v>0</v>
      </c>
      <c r="E37" s="38" t="e">
        <f t="shared" si="17"/>
        <v>#DIV/0!</v>
      </c>
      <c r="G37" s="433">
        <v>213</v>
      </c>
      <c r="H37" s="584"/>
      <c r="I37" s="585">
        <f>'свод  фок'!N28+'свод  фок'!N46</f>
        <v>0</v>
      </c>
      <c r="J37" s="585">
        <f t="shared" si="18"/>
        <v>0</v>
      </c>
      <c r="K37" s="38" t="e">
        <f t="shared" si="19"/>
        <v>#DIV/0!</v>
      </c>
      <c r="M37" s="433">
        <v>213</v>
      </c>
      <c r="N37" s="584"/>
      <c r="O37" s="585">
        <f>'свод  фок'!T28+'свод  фок'!T46</f>
        <v>0</v>
      </c>
      <c r="P37" s="585">
        <f t="shared" si="20"/>
        <v>0</v>
      </c>
      <c r="Q37" s="38" t="e">
        <f t="shared" si="21"/>
        <v>#DIV/0!</v>
      </c>
    </row>
    <row r="38" spans="1:17" x14ac:dyDescent="0.2">
      <c r="A38" s="433">
        <v>221</v>
      </c>
      <c r="B38" s="584"/>
      <c r="C38" s="585">
        <f>'свод  фок'!H92</f>
        <v>0</v>
      </c>
      <c r="D38" s="585">
        <f t="shared" si="16"/>
        <v>0</v>
      </c>
      <c r="E38" s="38" t="e">
        <f t="shared" si="17"/>
        <v>#DIV/0!</v>
      </c>
      <c r="G38" s="433">
        <v>221</v>
      </c>
      <c r="H38" s="584"/>
      <c r="I38" s="585">
        <f>'свод  фок'!N92</f>
        <v>0</v>
      </c>
      <c r="J38" s="585">
        <f t="shared" si="18"/>
        <v>0</v>
      </c>
      <c r="K38" s="38" t="e">
        <f t="shared" si="19"/>
        <v>#DIV/0!</v>
      </c>
      <c r="M38" s="433">
        <v>221</v>
      </c>
      <c r="N38" s="584"/>
      <c r="O38" s="585">
        <f>'свод  фок'!T92</f>
        <v>0</v>
      </c>
      <c r="P38" s="585">
        <f t="shared" si="20"/>
        <v>0</v>
      </c>
      <c r="Q38" s="38" t="e">
        <f t="shared" si="21"/>
        <v>#DIV/0!</v>
      </c>
    </row>
    <row r="39" spans="1:17" x14ac:dyDescent="0.2">
      <c r="A39" s="433">
        <v>222</v>
      </c>
      <c r="B39" s="584"/>
      <c r="C39" s="585"/>
      <c r="D39" s="585">
        <f t="shared" si="16"/>
        <v>0</v>
      </c>
      <c r="E39" s="38" t="e">
        <f>ROUND(B39/$D$32,2)</f>
        <v>#DIV/0!</v>
      </c>
      <c r="G39" s="433">
        <v>222</v>
      </c>
      <c r="H39" s="584"/>
      <c r="I39" s="585"/>
      <c r="J39" s="585">
        <f t="shared" si="18"/>
        <v>0</v>
      </c>
      <c r="K39" s="38" t="e">
        <f>ROUND(H39/$D$32,2)</f>
        <v>#DIV/0!</v>
      </c>
      <c r="M39" s="433">
        <v>222</v>
      </c>
      <c r="N39" s="584"/>
      <c r="O39" s="585"/>
      <c r="P39" s="585">
        <f t="shared" si="20"/>
        <v>0</v>
      </c>
      <c r="Q39" s="38" t="e">
        <f>ROUND(N39/$D$32,2)</f>
        <v>#DIV/0!</v>
      </c>
    </row>
    <row r="40" spans="1:17" x14ac:dyDescent="0.2">
      <c r="A40" s="433">
        <v>225</v>
      </c>
      <c r="B40" s="584"/>
      <c r="C40" s="585">
        <f>'свод  фок'!H51+'свод  фок'!H56+'свод  фок'!H94</f>
        <v>0</v>
      </c>
      <c r="D40" s="585">
        <f t="shared" si="16"/>
        <v>0</v>
      </c>
      <c r="E40" s="38" t="e">
        <f t="shared" ref="E40:E43" si="22">ROUND(B40/$D$32,2)</f>
        <v>#DIV/0!</v>
      </c>
      <c r="G40" s="433">
        <v>225</v>
      </c>
      <c r="H40" s="584"/>
      <c r="I40" s="585">
        <f>'свод  фок'!N51+'свод  фок'!N56+'свод  фок'!N94</f>
        <v>0</v>
      </c>
      <c r="J40" s="585">
        <f t="shared" si="18"/>
        <v>0</v>
      </c>
      <c r="K40" s="38" t="e">
        <f t="shared" ref="K40:K41" si="23">ROUND(H40/$D$32,2)</f>
        <v>#DIV/0!</v>
      </c>
      <c r="M40" s="433">
        <v>225</v>
      </c>
      <c r="N40" s="584"/>
      <c r="O40" s="585">
        <f>'свод  фок'!T51+'свод  фок'!T56+'свод  фок'!T94</f>
        <v>0</v>
      </c>
      <c r="P40" s="585">
        <f t="shared" si="20"/>
        <v>0</v>
      </c>
      <c r="Q40" s="38" t="e">
        <f t="shared" ref="Q40:Q41" si="24">ROUND(N40/$D$32,2)</f>
        <v>#DIV/0!</v>
      </c>
    </row>
    <row r="41" spans="1:17" x14ac:dyDescent="0.2">
      <c r="A41" s="433">
        <v>226</v>
      </c>
      <c r="B41" s="584"/>
      <c r="C41" s="585">
        <f>'свод  фок'!H96+'свод  фок'!H99+'свод  фок'!H57</f>
        <v>0</v>
      </c>
      <c r="D41" s="585">
        <f t="shared" si="16"/>
        <v>0</v>
      </c>
      <c r="E41" s="38" t="e">
        <f t="shared" si="22"/>
        <v>#DIV/0!</v>
      </c>
      <c r="G41" s="433">
        <v>226</v>
      </c>
      <c r="H41" s="584"/>
      <c r="I41" s="585"/>
      <c r="J41" s="585">
        <f t="shared" si="18"/>
        <v>0</v>
      </c>
      <c r="K41" s="38" t="e">
        <f t="shared" si="23"/>
        <v>#DIV/0!</v>
      </c>
      <c r="M41" s="433">
        <v>226</v>
      </c>
      <c r="N41" s="584"/>
      <c r="O41" s="585"/>
      <c r="P41" s="585">
        <f t="shared" si="20"/>
        <v>0</v>
      </c>
      <c r="Q41" s="38" t="e">
        <f t="shared" si="24"/>
        <v>#DIV/0!</v>
      </c>
    </row>
    <row r="42" spans="1:17" x14ac:dyDescent="0.2">
      <c r="A42" s="433">
        <v>291</v>
      </c>
      <c r="B42" s="584"/>
      <c r="C42" s="585">
        <f>[2]прил.1мероп!E20+[2]прил.1мероп!E21</f>
        <v>0</v>
      </c>
      <c r="D42" s="585">
        <f t="shared" si="16"/>
        <v>0</v>
      </c>
      <c r="E42" s="38" t="e">
        <f>ROUND(B42/$D$32,2)</f>
        <v>#DIV/0!</v>
      </c>
      <c r="G42" s="433">
        <v>291</v>
      </c>
      <c r="H42" s="584"/>
      <c r="I42" s="585"/>
      <c r="J42" s="585">
        <f t="shared" si="18"/>
        <v>0</v>
      </c>
      <c r="K42" s="38" t="e">
        <f>ROUND(H42/$J$32,2)</f>
        <v>#DIV/0!</v>
      </c>
      <c r="M42" s="433">
        <v>291</v>
      </c>
      <c r="N42" s="584"/>
      <c r="O42" s="585"/>
      <c r="P42" s="585">
        <f t="shared" si="20"/>
        <v>0</v>
      </c>
      <c r="Q42" s="38" t="e">
        <f>ROUND(N42/$P$32,2)</f>
        <v>#DIV/0!</v>
      </c>
    </row>
    <row r="43" spans="1:17" x14ac:dyDescent="0.2">
      <c r="A43" s="433" t="s">
        <v>461</v>
      </c>
      <c r="B43" s="584"/>
      <c r="C43" s="585">
        <f>прил1.мероприятия!E72</f>
        <v>0</v>
      </c>
      <c r="D43" s="585">
        <f t="shared" si="16"/>
        <v>0</v>
      </c>
      <c r="E43" s="38" t="e">
        <f t="shared" si="22"/>
        <v>#DIV/0!</v>
      </c>
      <c r="G43" s="433" t="s">
        <v>461</v>
      </c>
      <c r="H43" s="584"/>
      <c r="I43" s="585"/>
      <c r="J43" s="585">
        <f t="shared" si="18"/>
        <v>0</v>
      </c>
      <c r="K43" s="38" t="e">
        <f>ROUND(H43/$J$32,2)</f>
        <v>#DIV/0!</v>
      </c>
      <c r="M43" s="433" t="s">
        <v>461</v>
      </c>
      <c r="N43" s="584"/>
      <c r="O43" s="585"/>
      <c r="P43" s="585">
        <f t="shared" si="20"/>
        <v>0</v>
      </c>
      <c r="Q43" s="38" t="e">
        <f>ROUND(N43/$P$32,2)</f>
        <v>#DIV/0!</v>
      </c>
    </row>
    <row r="46" spans="1:17" x14ac:dyDescent="0.2">
      <c r="A46" s="604" t="s">
        <v>463</v>
      </c>
      <c r="B46" s="605">
        <f>D4*E4*E5</f>
        <v>0</v>
      </c>
      <c r="G46" s="604" t="s">
        <v>463</v>
      </c>
      <c r="H46" s="605">
        <f>J4*K4*K5</f>
        <v>0</v>
      </c>
      <c r="M46" s="604" t="s">
        <v>463</v>
      </c>
      <c r="N46" s="605">
        <f>P4*Q4*Q5</f>
        <v>0</v>
      </c>
    </row>
    <row r="47" spans="1:17" x14ac:dyDescent="0.2">
      <c r="A47" s="604"/>
      <c r="B47" s="605">
        <f>B6</f>
        <v>0</v>
      </c>
      <c r="G47" s="604"/>
      <c r="H47" s="605">
        <f>H6</f>
        <v>0</v>
      </c>
      <c r="M47" s="604"/>
      <c r="N47" s="605">
        <f>N6</f>
        <v>0</v>
      </c>
    </row>
    <row r="48" spans="1:17" x14ac:dyDescent="0.2">
      <c r="A48" s="604" t="s">
        <v>464</v>
      </c>
      <c r="B48" s="605">
        <f>B46-B47</f>
        <v>0</v>
      </c>
      <c r="E48" s="11">
        <f>ROUND(E4*E5,5)</f>
        <v>0</v>
      </c>
      <c r="G48" s="604" t="s">
        <v>464</v>
      </c>
      <c r="H48" s="605">
        <f>H46-H47</f>
        <v>0</v>
      </c>
      <c r="M48" s="604" t="s">
        <v>464</v>
      </c>
      <c r="N48" s="605">
        <f>N46-N47</f>
        <v>0</v>
      </c>
    </row>
    <row r="79" spans="12:12" x14ac:dyDescent="0.2">
      <c r="L79" s="11">
        <v>13448.42</v>
      </c>
    </row>
    <row r="81" spans="12:14" x14ac:dyDescent="0.2">
      <c r="L81" s="11">
        <f>L79</f>
        <v>13448.42</v>
      </c>
      <c r="N81" s="11">
        <f>N79</f>
        <v>0</v>
      </c>
    </row>
  </sheetData>
  <mergeCells count="12">
    <mergeCell ref="A2:D2"/>
    <mergeCell ref="G2:J2"/>
    <mergeCell ref="M2:P2"/>
    <mergeCell ref="A4:C4"/>
    <mergeCell ref="G4:I4"/>
    <mergeCell ref="M4:O4"/>
    <mergeCell ref="A18:C18"/>
    <mergeCell ref="G18:I18"/>
    <mergeCell ref="M18:O18"/>
    <mergeCell ref="A32:C32"/>
    <mergeCell ref="G32:I32"/>
    <mergeCell ref="M32:O3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2"/>
  <sheetViews>
    <sheetView view="pageBreakPreview" zoomScaleNormal="100" zoomScaleSheetLayoutView="100" workbookViewId="0">
      <selection activeCell="AA71" sqref="AA71"/>
    </sheetView>
  </sheetViews>
  <sheetFormatPr defaultColWidth="9.140625" defaultRowHeight="15" x14ac:dyDescent="0.25"/>
  <cols>
    <col min="1" max="1" width="9.7109375" style="65" customWidth="1"/>
    <col min="2" max="2" width="14.7109375" style="12" customWidth="1"/>
    <col min="3" max="3" width="17.140625" style="12" customWidth="1"/>
    <col min="4" max="4" width="13" style="12" customWidth="1"/>
    <col min="5" max="5" width="13.28515625" style="12" customWidth="1"/>
    <col min="6" max="6" width="12.140625" style="12" customWidth="1"/>
    <col min="7" max="7" width="13.7109375" style="12" customWidth="1"/>
    <col min="8" max="8" width="12.85546875" style="12" customWidth="1"/>
    <col min="9" max="9" width="10.5703125" style="12" customWidth="1"/>
    <col min="10" max="10" width="10.7109375" style="246" hidden="1" customWidth="1"/>
    <col min="11" max="11" width="18.28515625" style="246" hidden="1" customWidth="1"/>
    <col min="12" max="12" width="10" style="246" hidden="1" customWidth="1"/>
    <col min="13" max="13" width="12.28515625" hidden="1" customWidth="1"/>
    <col min="14" max="14" width="0" hidden="1" customWidth="1"/>
    <col min="15" max="15" width="10.28515625" hidden="1" customWidth="1"/>
    <col min="16" max="16" width="0" hidden="1" customWidth="1"/>
    <col min="17" max="17" width="11.7109375" hidden="1" customWidth="1"/>
    <col min="18" max="19" width="0" style="11" hidden="1" customWidth="1"/>
    <col min="20" max="16384" width="9.140625" style="11"/>
  </cols>
  <sheetData>
    <row r="1" spans="1:26" x14ac:dyDescent="0.25">
      <c r="G1" s="1023" t="s">
        <v>131</v>
      </c>
      <c r="H1" s="1023"/>
    </row>
    <row r="2" spans="1:26" s="46" customFormat="1" ht="35.25" customHeight="1" x14ac:dyDescent="0.3">
      <c r="A2" s="667"/>
      <c r="B2" s="957" t="s">
        <v>130</v>
      </c>
      <c r="C2" s="957"/>
      <c r="D2" s="957"/>
      <c r="E2" s="957"/>
      <c r="F2" s="957"/>
      <c r="G2" s="957"/>
      <c r="H2" s="957"/>
      <c r="I2" s="47"/>
      <c r="J2" s="395"/>
      <c r="K2" s="395"/>
      <c r="L2" s="395"/>
      <c r="M2" s="394"/>
      <c r="N2" s="394"/>
      <c r="O2" s="394"/>
      <c r="P2" s="394"/>
      <c r="Q2" s="394"/>
    </row>
    <row r="3" spans="1:26" ht="20.25" customHeight="1" x14ac:dyDescent="0.3">
      <c r="B3" s="654"/>
      <c r="C3" s="654"/>
      <c r="D3" s="654"/>
      <c r="E3" s="654"/>
      <c r="F3" s="654"/>
      <c r="G3" s="958"/>
      <c r="H3" s="958"/>
      <c r="J3" s="393"/>
      <c r="K3" s="393"/>
      <c r="L3" s="393"/>
      <c r="M3" s="187"/>
      <c r="N3" s="187"/>
      <c r="O3" s="187"/>
      <c r="P3" s="187"/>
      <c r="Q3" s="187"/>
    </row>
    <row r="4" spans="1:26" ht="35.25" hidden="1" customHeight="1" thickBot="1" x14ac:dyDescent="0.3">
      <c r="B4" s="959" t="s">
        <v>350</v>
      </c>
      <c r="C4" s="959"/>
      <c r="D4" s="959"/>
      <c r="E4" s="959"/>
      <c r="F4" s="959"/>
      <c r="G4" s="959"/>
      <c r="H4" s="959"/>
      <c r="J4" s="393"/>
      <c r="K4" s="393"/>
      <c r="L4" s="393"/>
      <c r="M4" s="187"/>
      <c r="N4" s="187"/>
      <c r="O4" s="187"/>
      <c r="P4" s="187"/>
      <c r="Q4" s="187"/>
    </row>
    <row r="5" spans="1:26" ht="38.25" hidden="1" x14ac:dyDescent="0.2">
      <c r="A5" s="65" t="s">
        <v>349</v>
      </c>
      <c r="B5" s="381" t="s">
        <v>348</v>
      </c>
      <c r="C5" s="374" t="s">
        <v>94</v>
      </c>
      <c r="D5" s="374" t="s">
        <v>93</v>
      </c>
      <c r="E5" s="374" t="s">
        <v>92</v>
      </c>
      <c r="F5" s="374" t="s">
        <v>91</v>
      </c>
      <c r="G5" s="374" t="s">
        <v>90</v>
      </c>
      <c r="H5" s="373" t="s">
        <v>89</v>
      </c>
      <c r="J5" s="393"/>
      <c r="K5" s="187" t="s">
        <v>356</v>
      </c>
      <c r="L5" s="187"/>
      <c r="M5" s="187" t="s">
        <v>355</v>
      </c>
      <c r="N5" s="187"/>
      <c r="O5" s="187"/>
      <c r="P5" s="187"/>
      <c r="Q5" s="187"/>
    </row>
    <row r="6" spans="1:26" ht="42" hidden="1" customHeight="1" x14ac:dyDescent="0.2">
      <c r="A6" s="65" t="s">
        <v>346</v>
      </c>
      <c r="B6" s="378"/>
      <c r="C6" s="655"/>
      <c r="D6" s="655"/>
      <c r="E6" s="655"/>
      <c r="F6" s="655"/>
      <c r="G6" s="659">
        <f>ROUND(B6*C6*D6*E6*F6,2)</f>
        <v>0</v>
      </c>
      <c r="H6" s="662">
        <f>ROUND(G6*30.2%,2)</f>
        <v>0</v>
      </c>
      <c r="I6" s="12">
        <f>ROUND(B6*C6*D6,0)</f>
        <v>0</v>
      </c>
      <c r="J6" s="393"/>
      <c r="K6" s="187"/>
      <c r="L6" s="187"/>
      <c r="M6" s="187"/>
      <c r="N6" s="187"/>
      <c r="O6" s="187"/>
      <c r="P6" s="187"/>
      <c r="Q6" s="187"/>
    </row>
    <row r="7" spans="1:26" ht="14.25" hidden="1" customHeight="1" x14ac:dyDescent="0.2">
      <c r="A7" s="65" t="s">
        <v>346</v>
      </c>
      <c r="B7" s="378"/>
      <c r="C7" s="655"/>
      <c r="D7" s="655"/>
      <c r="E7" s="655"/>
      <c r="F7" s="655"/>
      <c r="G7" s="659">
        <f>ROUND(B7*C7*D7*E7*F7,2)</f>
        <v>0</v>
      </c>
      <c r="H7" s="662">
        <f>ROUND(G7*30.2%,2)</f>
        <v>0</v>
      </c>
      <c r="J7" s="33"/>
      <c r="K7" s="34"/>
      <c r="L7" s="33" t="s">
        <v>119</v>
      </c>
      <c r="M7" s="33" t="s">
        <v>118</v>
      </c>
      <c r="N7" s="33" t="s">
        <v>117</v>
      </c>
      <c r="O7" s="33" t="s">
        <v>116</v>
      </c>
      <c r="P7" s="33"/>
      <c r="Q7" s="33"/>
      <c r="S7" s="33"/>
      <c r="T7" s="34"/>
      <c r="U7" s="33" t="s">
        <v>119</v>
      </c>
      <c r="V7" s="33" t="s">
        <v>118</v>
      </c>
      <c r="W7" s="33" t="s">
        <v>117</v>
      </c>
      <c r="X7" s="33" t="s">
        <v>116</v>
      </c>
      <c r="Y7" s="33"/>
      <c r="Z7" s="33"/>
    </row>
    <row r="8" spans="1:26" ht="14.25" hidden="1" customHeight="1" x14ac:dyDescent="0.2">
      <c r="B8" s="378"/>
      <c r="C8" s="655"/>
      <c r="D8" s="655"/>
      <c r="E8" s="655"/>
      <c r="F8" s="655"/>
      <c r="G8" s="659"/>
      <c r="H8" s="662"/>
      <c r="J8" s="33">
        <v>1</v>
      </c>
      <c r="K8" s="34" t="s">
        <v>106</v>
      </c>
      <c r="L8" s="37">
        <v>1224365</v>
      </c>
      <c r="M8" s="37">
        <v>97.58</v>
      </c>
      <c r="N8" s="33">
        <f>L8-O8</f>
        <v>854365</v>
      </c>
      <c r="O8" s="37">
        <v>370000</v>
      </c>
      <c r="P8" s="33"/>
      <c r="Q8" s="33"/>
      <c r="S8" s="33">
        <v>5</v>
      </c>
      <c r="T8" s="34" t="s">
        <v>106</v>
      </c>
      <c r="U8" s="37">
        <v>1093443.51</v>
      </c>
      <c r="V8" s="37">
        <v>93.58</v>
      </c>
      <c r="W8" s="33">
        <f>U8-X8</f>
        <v>913788.34</v>
      </c>
      <c r="X8" s="37">
        <f>113621.41+120190.25-54156.49</f>
        <v>179655.17</v>
      </c>
      <c r="Y8" s="33"/>
      <c r="Z8" s="33"/>
    </row>
    <row r="9" spans="1:26" ht="14.25" hidden="1" customHeight="1" x14ac:dyDescent="0.2">
      <c r="B9" s="378"/>
      <c r="C9" s="655"/>
      <c r="D9" s="655">
        <f>D8</f>
        <v>0</v>
      </c>
      <c r="E9" s="655"/>
      <c r="F9" s="655"/>
      <c r="G9" s="659">
        <f>ROUND(B9*C9*D9*E9*F9,2)</f>
        <v>0</v>
      </c>
      <c r="H9" s="662">
        <f>ROUND(G9*30.2%,2)</f>
        <v>0</v>
      </c>
      <c r="J9" s="33"/>
      <c r="K9" s="34"/>
      <c r="L9" s="37"/>
      <c r="M9" s="37"/>
      <c r="N9" s="33"/>
      <c r="O9" s="37"/>
      <c r="P9" s="33"/>
      <c r="Q9" s="33"/>
      <c r="S9" s="33"/>
      <c r="T9" s="33" t="s">
        <v>346</v>
      </c>
      <c r="U9" s="33">
        <f>X9+W9</f>
        <v>661534.82000000007</v>
      </c>
      <c r="V9" s="37">
        <v>51.28</v>
      </c>
      <c r="W9" s="37">
        <f>308177.28+242957.54</f>
        <v>551134.82000000007</v>
      </c>
      <c r="X9" s="37">
        <v>110400</v>
      </c>
      <c r="Y9" s="33">
        <f>ROUND(W9/V9,2)</f>
        <v>10747.56</v>
      </c>
      <c r="Z9" s="33">
        <f>ROUND(X9/W9+1,9)</f>
        <v>1.2003139629999999</v>
      </c>
    </row>
    <row r="10" spans="1:26" ht="14.25" hidden="1" customHeight="1" x14ac:dyDescent="0.2">
      <c r="B10" s="668"/>
      <c r="C10" s="669"/>
      <c r="D10" s="669"/>
      <c r="E10" s="669"/>
      <c r="F10" s="669"/>
      <c r="G10" s="659">
        <f>ROUND(B10*C10*D10*E10*F10,2)</f>
        <v>0</v>
      </c>
      <c r="H10" s="662">
        <f>ROUND(G10*30.2%,2)</f>
        <v>0</v>
      </c>
      <c r="J10" s="33"/>
      <c r="K10" s="34"/>
      <c r="L10" s="37"/>
      <c r="M10" s="37"/>
      <c r="N10" s="33"/>
      <c r="O10" s="37"/>
      <c r="P10" s="33"/>
      <c r="Q10" s="33"/>
      <c r="S10" s="33"/>
      <c r="T10" s="33"/>
      <c r="U10" s="33"/>
      <c r="V10" s="37"/>
      <c r="W10" s="37"/>
      <c r="X10" s="37"/>
      <c r="Y10" s="33"/>
      <c r="Z10" s="33"/>
    </row>
    <row r="11" spans="1:26" ht="14.25" hidden="1" customHeight="1" thickBot="1" x14ac:dyDescent="0.25">
      <c r="B11" s="670"/>
      <c r="C11" s="657"/>
      <c r="D11" s="657"/>
      <c r="E11" s="657"/>
      <c r="F11" s="657"/>
      <c r="G11" s="660">
        <f>SUM(G6:G10)</f>
        <v>0</v>
      </c>
      <c r="H11" s="661">
        <f>SUM(H6:H10)</f>
        <v>0</v>
      </c>
      <c r="J11" s="33"/>
      <c r="K11" s="33" t="s">
        <v>346</v>
      </c>
      <c r="L11" s="33">
        <f>O11+N11</f>
        <v>593141.01</v>
      </c>
      <c r="M11" s="37">
        <v>53.28</v>
      </c>
      <c r="N11" s="37">
        <v>343141.01</v>
      </c>
      <c r="O11" s="37">
        <v>250000</v>
      </c>
      <c r="P11" s="33">
        <f>ROUND(N11/M11,2)</f>
        <v>6440.33</v>
      </c>
      <c r="Q11" s="33">
        <f>ROUND(O11/N11+1,9)</f>
        <v>1.7285634560000001</v>
      </c>
      <c r="S11" s="33"/>
      <c r="T11" s="33" t="s">
        <v>104</v>
      </c>
      <c r="U11" s="33">
        <f>U8-U9</f>
        <v>431908.68999999994</v>
      </c>
      <c r="V11" s="33">
        <f>V8-V9</f>
        <v>42.3</v>
      </c>
      <c r="W11" s="33">
        <f>W8-W9</f>
        <v>362653.5199999999</v>
      </c>
      <c r="X11" s="33">
        <f>X8-X9</f>
        <v>69255.170000000013</v>
      </c>
      <c r="Y11" s="33">
        <f>ROUND(W11/V11,2)</f>
        <v>8573.3700000000008</v>
      </c>
      <c r="Z11" s="33">
        <f>ROUND(X11/W11+1,9)</f>
        <v>1.1909678690000001</v>
      </c>
    </row>
    <row r="12" spans="1:26" ht="12.75" hidden="1" x14ac:dyDescent="0.2">
      <c r="J12" s="33"/>
      <c r="K12" s="33" t="s">
        <v>104</v>
      </c>
      <c r="L12" s="33">
        <f>L8-L11</f>
        <v>631223.99</v>
      </c>
      <c r="M12" s="33">
        <f>M8-M11</f>
        <v>44.3</v>
      </c>
      <c r="N12" s="33">
        <f>N8-N11</f>
        <v>511223.99</v>
      </c>
      <c r="O12" s="33">
        <f>O8-O11</f>
        <v>120000</v>
      </c>
      <c r="P12" s="33">
        <f>ROUND(N12/M12,2)</f>
        <v>11540.04</v>
      </c>
      <c r="Q12" s="33">
        <f>ROUND(O12/N12+1,9)</f>
        <v>1.2347307679999999</v>
      </c>
    </row>
    <row r="13" spans="1:26" ht="31.5" hidden="1" customHeight="1" x14ac:dyDescent="0.25">
      <c r="B13" s="960" t="s">
        <v>484</v>
      </c>
      <c r="C13" s="960"/>
      <c r="D13" s="960"/>
      <c r="E13" s="960"/>
      <c r="F13" s="960"/>
      <c r="G13" s="960"/>
      <c r="H13" s="960"/>
      <c r="J13" s="34"/>
      <c r="K13" s="33"/>
      <c r="L13" s="33"/>
      <c r="M13" s="33"/>
      <c r="N13" s="33"/>
      <c r="O13" s="33"/>
      <c r="P13" s="33"/>
      <c r="Q13" s="33"/>
    </row>
    <row r="14" spans="1:26" ht="13.5" hidden="1" thickBot="1" x14ac:dyDescent="0.25">
      <c r="J14" s="34">
        <v>2</v>
      </c>
      <c r="K14" s="34" t="s">
        <v>106</v>
      </c>
      <c r="L14" s="37">
        <v>1477758.55</v>
      </c>
      <c r="M14" s="37">
        <v>151.65</v>
      </c>
      <c r="N14" s="33">
        <f>L14-O14</f>
        <v>1238130.74</v>
      </c>
      <c r="O14" s="37">
        <f>350176.26-110548.45</f>
        <v>239627.81</v>
      </c>
      <c r="P14" s="33"/>
      <c r="Q14" s="33"/>
    </row>
    <row r="15" spans="1:26" s="12" customFormat="1" ht="89.25" hidden="1" x14ac:dyDescent="0.2">
      <c r="A15" s="43"/>
      <c r="B15" s="381" t="s">
        <v>485</v>
      </c>
      <c r="C15" s="374" t="s">
        <v>486</v>
      </c>
      <c r="D15" s="374" t="s">
        <v>92</v>
      </c>
      <c r="E15" s="373" t="s">
        <v>487</v>
      </c>
      <c r="J15" s="41"/>
      <c r="K15" s="33" t="s">
        <v>488</v>
      </c>
      <c r="L15" s="33">
        <f>O15+N15</f>
        <v>594385.78</v>
      </c>
      <c r="M15" s="37">
        <v>52</v>
      </c>
      <c r="N15" s="37">
        <f>254664.5+22191.72+121434.02+117417.14</f>
        <v>515707.38</v>
      </c>
      <c r="O15" s="37">
        <f>33730.8+13344.1+11603.5+20000</f>
        <v>78678.399999999994</v>
      </c>
      <c r="P15" s="33">
        <f>ROUND(N15/M15,2)</f>
        <v>9917.4500000000007</v>
      </c>
      <c r="Q15" s="33">
        <f>O15/N15+1</f>
        <v>1.1525640373810435</v>
      </c>
    </row>
    <row r="16" spans="1:26" ht="12.75" hidden="1" x14ac:dyDescent="0.2">
      <c r="B16" s="378"/>
      <c r="C16" s="655"/>
      <c r="D16" s="655"/>
      <c r="E16" s="656">
        <f>B16*C16*D16</f>
        <v>0</v>
      </c>
      <c r="J16" s="34"/>
      <c r="K16" s="33" t="s">
        <v>489</v>
      </c>
      <c r="L16" s="33">
        <f>L14-L15</f>
        <v>883372.77</v>
      </c>
      <c r="M16" s="33">
        <f>M14-M15</f>
        <v>99.65</v>
      </c>
      <c r="N16" s="33">
        <f>N14-N15</f>
        <v>722423.36</v>
      </c>
      <c r="O16" s="33">
        <f>O14-O15</f>
        <v>160949.41</v>
      </c>
      <c r="P16" s="33">
        <f>ROUND(N16/M16,2)</f>
        <v>7249.61</v>
      </c>
      <c r="Q16" s="33">
        <f>O16/N16+1</f>
        <v>1.2227909822849583</v>
      </c>
    </row>
    <row r="17" spans="2:83" ht="13.5" hidden="1" thickBot="1" x14ac:dyDescent="0.25">
      <c r="B17" s="670"/>
      <c r="C17" s="657"/>
      <c r="D17" s="657"/>
      <c r="E17" s="658">
        <f>B17*C17*D17</f>
        <v>0</v>
      </c>
      <c r="J17" s="34"/>
      <c r="K17" s="34"/>
      <c r="L17" s="34"/>
      <c r="M17" s="33"/>
      <c r="N17" s="33"/>
      <c r="O17" s="33"/>
      <c r="P17" s="33"/>
      <c r="Q17" s="33"/>
    </row>
    <row r="18" spans="2:83" ht="13.5" thickBot="1" x14ac:dyDescent="0.25">
      <c r="J18" s="34">
        <v>3</v>
      </c>
      <c r="K18" s="34" t="s">
        <v>106</v>
      </c>
      <c r="L18" s="37">
        <v>1438717</v>
      </c>
      <c r="M18" s="37">
        <v>151.65</v>
      </c>
      <c r="N18" s="33">
        <f>L18-O18</f>
        <v>1238130.74</v>
      </c>
      <c r="O18" s="37">
        <f>115069.92+41348.89+44167.45</f>
        <v>200586.26</v>
      </c>
      <c r="P18" s="33"/>
      <c r="Q18" s="33"/>
    </row>
    <row r="19" spans="2:83" ht="90" x14ac:dyDescent="0.2">
      <c r="B19" s="671" t="s">
        <v>490</v>
      </c>
      <c r="C19" s="374" t="s">
        <v>124</v>
      </c>
      <c r="D19" s="374" t="s">
        <v>92</v>
      </c>
      <c r="E19" s="672" t="s">
        <v>491</v>
      </c>
      <c r="J19" s="34"/>
      <c r="K19" s="33" t="s">
        <v>488</v>
      </c>
      <c r="L19" s="33">
        <f>O19+N19</f>
        <v>574385.78</v>
      </c>
      <c r="M19" s="37">
        <v>52</v>
      </c>
      <c r="N19" s="37">
        <f>254664.5+22191.72+121434.02+117417.14</f>
        <v>515707.38</v>
      </c>
      <c r="O19" s="37">
        <f>33730.8+13344.1+11603.5</f>
        <v>58678.400000000001</v>
      </c>
      <c r="P19" s="33">
        <f>ROUND(N19/M19,2)</f>
        <v>9917.4500000000007</v>
      </c>
      <c r="Q19" s="33">
        <f>O19/N19+1</f>
        <v>1.1137823546368486</v>
      </c>
    </row>
    <row r="20" spans="2:83" ht="12.75" x14ac:dyDescent="0.2">
      <c r="B20" s="22"/>
      <c r="C20" s="655">
        <v>1</v>
      </c>
      <c r="D20" s="655">
        <v>1</v>
      </c>
      <c r="E20" s="656">
        <f>B20*C20*D20</f>
        <v>0</v>
      </c>
      <c r="J20" s="34"/>
      <c r="K20" s="33" t="s">
        <v>489</v>
      </c>
      <c r="L20" s="33">
        <f>L18-L19</f>
        <v>864331.22</v>
      </c>
      <c r="M20" s="33">
        <f>M18-M19</f>
        <v>99.65</v>
      </c>
      <c r="N20" s="33">
        <f>N18-N19</f>
        <v>722423.36</v>
      </c>
      <c r="O20" s="33">
        <f>O18-O19</f>
        <v>141907.86000000002</v>
      </c>
      <c r="P20" s="33">
        <f>ROUND(N20/M20,2)</f>
        <v>7249.61</v>
      </c>
      <c r="Q20" s="33">
        <f>O20/N20+1</f>
        <v>1.1964330998377462</v>
      </c>
    </row>
    <row r="21" spans="2:83" ht="13.5" thickBot="1" x14ac:dyDescent="0.25">
      <c r="B21" s="20"/>
      <c r="C21" s="657"/>
      <c r="D21" s="657"/>
      <c r="E21" s="658">
        <f>B21*C21*D21</f>
        <v>0</v>
      </c>
      <c r="J21" s="34"/>
      <c r="K21" s="34"/>
      <c r="L21" s="34"/>
      <c r="M21" s="33"/>
      <c r="N21" s="33"/>
      <c r="O21" s="33"/>
      <c r="P21" s="33"/>
      <c r="Q21" s="33"/>
    </row>
    <row r="22" spans="2:83" ht="12.75" x14ac:dyDescent="0.2">
      <c r="J22" s="34">
        <v>4</v>
      </c>
      <c r="K22" s="34" t="s">
        <v>106</v>
      </c>
      <c r="L22" s="37">
        <f>L18</f>
        <v>1438717</v>
      </c>
      <c r="M22" s="37">
        <v>151.65</v>
      </c>
      <c r="N22" s="33">
        <f>L22-O22</f>
        <v>1238130.74</v>
      </c>
      <c r="O22" s="37">
        <v>200586.26</v>
      </c>
      <c r="P22" s="33"/>
      <c r="Q22" s="33"/>
    </row>
    <row r="23" spans="2:83" x14ac:dyDescent="0.25">
      <c r="J23" s="673"/>
      <c r="K23" s="33"/>
      <c r="L23" s="380"/>
      <c r="M23" s="380"/>
      <c r="N23" s="380"/>
      <c r="O23" s="380"/>
      <c r="P23" s="380"/>
      <c r="Q23" s="33"/>
    </row>
    <row r="24" spans="2:83" x14ac:dyDescent="0.25">
      <c r="J24" s="673"/>
      <c r="K24" s="33"/>
      <c r="L24" s="33"/>
      <c r="M24" s="33"/>
      <c r="N24" s="33"/>
      <c r="O24" s="33"/>
      <c r="P24" s="33"/>
      <c r="Q24" s="33"/>
    </row>
    <row r="25" spans="2:83" x14ac:dyDescent="0.25">
      <c r="B25" s="15" t="s">
        <v>497</v>
      </c>
      <c r="C25" s="70"/>
      <c r="D25" s="211"/>
      <c r="E25" s="941" t="s">
        <v>498</v>
      </c>
      <c r="F25" s="942"/>
      <c r="G25" s="15"/>
      <c r="H25" s="13"/>
      <c r="I25" s="13"/>
      <c r="J25" s="674"/>
      <c r="K25" s="674"/>
      <c r="L25" s="674"/>
      <c r="M25" s="674"/>
      <c r="N25" s="674"/>
      <c r="O25" s="674"/>
      <c r="P25" s="674"/>
      <c r="Q25" s="674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</row>
    <row r="26" spans="2:83" ht="12.75" x14ac:dyDescent="0.2">
      <c r="B26" s="67"/>
      <c r="C26" s="67"/>
      <c r="D26" s="67"/>
      <c r="E26" s="67"/>
      <c r="F26" s="14"/>
      <c r="G26" s="11"/>
      <c r="H26" s="13"/>
      <c r="I26" s="13"/>
      <c r="J26" s="33"/>
      <c r="K26" s="34"/>
      <c r="L26" s="33" t="s">
        <v>119</v>
      </c>
      <c r="M26" s="33" t="s">
        <v>118</v>
      </c>
      <c r="N26" s="33" t="s">
        <v>117</v>
      </c>
      <c r="O26" s="33" t="s">
        <v>116</v>
      </c>
      <c r="P26" s="33"/>
      <c r="Q26" s="3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</row>
    <row r="27" spans="2:83" x14ac:dyDescent="0.25">
      <c r="B27" s="11" t="s">
        <v>303</v>
      </c>
      <c r="C27" s="67"/>
      <c r="D27" s="212"/>
      <c r="E27" s="941" t="s">
        <v>499</v>
      </c>
      <c r="F27" s="942"/>
      <c r="G27" s="11"/>
      <c r="H27" s="13"/>
      <c r="I27" s="13"/>
      <c r="J27" s="33">
        <v>2</v>
      </c>
      <c r="K27" s="34" t="s">
        <v>106</v>
      </c>
      <c r="L27" s="37">
        <v>1224365</v>
      </c>
      <c r="M27" s="37">
        <v>97.58</v>
      </c>
      <c r="N27" s="33">
        <f>L27-O27</f>
        <v>854365</v>
      </c>
      <c r="O27" s="37">
        <v>370000</v>
      </c>
      <c r="P27" s="33"/>
      <c r="Q27" s="3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</row>
    <row r="28" spans="2:83" ht="12.75" x14ac:dyDescent="0.2">
      <c r="B28" s="11"/>
      <c r="C28" s="65"/>
      <c r="D28" s="1085"/>
      <c r="E28" s="1085"/>
      <c r="F28" s="11"/>
      <c r="G28" s="11"/>
      <c r="H28" s="13"/>
      <c r="I28" s="13"/>
      <c r="J28" s="33"/>
      <c r="K28" s="33" t="s">
        <v>346</v>
      </c>
      <c r="L28" s="33">
        <f>O28+N28</f>
        <v>593141.01</v>
      </c>
      <c r="M28" s="37">
        <v>53.28</v>
      </c>
      <c r="N28" s="37">
        <v>343141.01</v>
      </c>
      <c r="O28" s="37">
        <v>250000</v>
      </c>
      <c r="P28" s="33">
        <f>ROUND(N28/M28,2)</f>
        <v>6440.33</v>
      </c>
      <c r="Q28" s="33">
        <f>ROUND(O28/N28+1,9)</f>
        <v>1.7285634560000001</v>
      </c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</row>
    <row r="29" spans="2:83" ht="12.75" x14ac:dyDescent="0.2">
      <c r="B29" s="11"/>
      <c r="C29" s="65"/>
      <c r="D29" s="65"/>
      <c r="E29" s="65"/>
      <c r="F29" s="11"/>
      <c r="G29" s="11"/>
      <c r="H29" s="13"/>
      <c r="I29" s="13"/>
      <c r="J29" s="33"/>
      <c r="K29" s="33" t="s">
        <v>104</v>
      </c>
      <c r="L29" s="33">
        <f>L27-L28</f>
        <v>631223.99</v>
      </c>
      <c r="M29" s="33">
        <f>M27-M28</f>
        <v>44.3</v>
      </c>
      <c r="N29" s="33">
        <f>N27-N28</f>
        <v>511223.99</v>
      </c>
      <c r="O29" s="33">
        <f>O27-O28</f>
        <v>120000</v>
      </c>
      <c r="P29" s="33">
        <f>ROUND(N29/M29,2)</f>
        <v>11540.04</v>
      </c>
      <c r="Q29" s="33">
        <f>ROUND(O29/N29+1,9)</f>
        <v>1.2347307679999999</v>
      </c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</row>
    <row r="30" spans="2:83" hidden="1" x14ac:dyDescent="0.25">
      <c r="K30" s="392"/>
    </row>
    <row r="31" spans="2:83" ht="12.75" hidden="1" x14ac:dyDescent="0.2">
      <c r="J31" s="33"/>
      <c r="K31" s="34"/>
      <c r="L31" s="33" t="s">
        <v>119</v>
      </c>
      <c r="M31" s="33" t="s">
        <v>118</v>
      </c>
      <c r="N31" s="33" t="s">
        <v>117</v>
      </c>
      <c r="O31" s="33" t="s">
        <v>116</v>
      </c>
      <c r="P31" s="33"/>
      <c r="Q31" s="33"/>
      <c r="S31" s="11">
        <f>N34-W11</f>
        <v>148570.47000000009</v>
      </c>
    </row>
    <row r="32" spans="2:83" ht="12.75" hidden="1" x14ac:dyDescent="0.2">
      <c r="J32" s="33">
        <v>3</v>
      </c>
      <c r="K32" s="34" t="s">
        <v>106</v>
      </c>
      <c r="L32" s="37">
        <v>1224365</v>
      </c>
      <c r="M32" s="37">
        <f>M27</f>
        <v>97.58</v>
      </c>
      <c r="N32" s="33">
        <f>L32-O32</f>
        <v>854365</v>
      </c>
      <c r="O32" s="37">
        <v>370000</v>
      </c>
      <c r="P32" s="33"/>
      <c r="Q32" s="33"/>
    </row>
    <row r="33" spans="10:17" ht="12.75" hidden="1" x14ac:dyDescent="0.2">
      <c r="J33" s="33"/>
      <c r="K33" s="33" t="s">
        <v>346</v>
      </c>
      <c r="L33" s="33">
        <f>O33+N33</f>
        <v>593141.01</v>
      </c>
      <c r="M33" s="37">
        <f>M28</f>
        <v>53.28</v>
      </c>
      <c r="N33" s="37">
        <f>N28</f>
        <v>343141.01</v>
      </c>
      <c r="O33" s="37">
        <v>250000</v>
      </c>
      <c r="P33" s="33">
        <f>ROUND(N33/M33,2)</f>
        <v>6440.33</v>
      </c>
      <c r="Q33" s="33">
        <f>ROUND(O33/N33+1,9)</f>
        <v>1.7285634560000001</v>
      </c>
    </row>
    <row r="34" spans="10:17" ht="12.75" hidden="1" x14ac:dyDescent="0.2">
      <c r="J34" s="33"/>
      <c r="K34" s="33" t="s">
        <v>104</v>
      </c>
      <c r="L34" s="33">
        <f>L32-L33</f>
        <v>631223.99</v>
      </c>
      <c r="M34" s="33">
        <f>M32-M33</f>
        <v>44.3</v>
      </c>
      <c r="N34" s="33">
        <f>N32-N33</f>
        <v>511223.99</v>
      </c>
      <c r="O34" s="33">
        <f>O32-O33</f>
        <v>120000</v>
      </c>
      <c r="P34" s="33">
        <f>ROUND(N34/M34,2)</f>
        <v>11540.04</v>
      </c>
      <c r="Q34" s="33">
        <f>ROUND(O34/N34+1,9)</f>
        <v>1.2347307679999999</v>
      </c>
    </row>
    <row r="35" spans="10:17" hidden="1" x14ac:dyDescent="0.25"/>
    <row r="36" spans="10:17" hidden="1" x14ac:dyDescent="0.25"/>
    <row r="37" spans="10:17" hidden="1" x14ac:dyDescent="0.25"/>
    <row r="38" spans="10:17" hidden="1" x14ac:dyDescent="0.25"/>
    <row r="39" spans="10:17" hidden="1" x14ac:dyDescent="0.25"/>
    <row r="40" spans="10:17" hidden="1" x14ac:dyDescent="0.25"/>
    <row r="41" spans="10:17" hidden="1" x14ac:dyDescent="0.25"/>
    <row r="42" spans="10:17" hidden="1" x14ac:dyDescent="0.25"/>
    <row r="43" spans="10:17" hidden="1" x14ac:dyDescent="0.25"/>
    <row r="44" spans="10:17" hidden="1" x14ac:dyDescent="0.25"/>
    <row r="45" spans="10:17" hidden="1" x14ac:dyDescent="0.25"/>
    <row r="46" spans="10:17" hidden="1" x14ac:dyDescent="0.25"/>
    <row r="47" spans="10:17" hidden="1" x14ac:dyDescent="0.25"/>
    <row r="48" spans="10:17" hidden="1" x14ac:dyDescent="0.25"/>
    <row r="49" spans="1:18" hidden="1" x14ac:dyDescent="0.25"/>
    <row r="50" spans="1:18" hidden="1" x14ac:dyDescent="0.25"/>
    <row r="51" spans="1:18" hidden="1" x14ac:dyDescent="0.25"/>
    <row r="52" spans="1:18" hidden="1" x14ac:dyDescent="0.25"/>
    <row r="53" spans="1:18" hidden="1" x14ac:dyDescent="0.25"/>
    <row r="54" spans="1:18" hidden="1" x14ac:dyDescent="0.25"/>
    <row r="55" spans="1:18" hidden="1" x14ac:dyDescent="0.25"/>
    <row r="56" spans="1:18" hidden="1" x14ac:dyDescent="0.25"/>
    <row r="57" spans="1:18" hidden="1" x14ac:dyDescent="0.25"/>
    <row r="58" spans="1:18" x14ac:dyDescent="0.25">
      <c r="A58" s="43"/>
      <c r="F58" s="1023" t="s">
        <v>103</v>
      </c>
      <c r="G58" s="1023"/>
    </row>
    <row r="59" spans="1:18" ht="45.75" customHeight="1" x14ac:dyDescent="0.3">
      <c r="A59" s="957" t="s">
        <v>102</v>
      </c>
      <c r="B59" s="957"/>
      <c r="C59" s="957"/>
      <c r="D59" s="957"/>
      <c r="E59" s="957"/>
      <c r="F59" s="957"/>
      <c r="G59" s="957"/>
      <c r="O59" s="675"/>
    </row>
    <row r="60" spans="1:18" ht="20.25" customHeight="1" x14ac:dyDescent="0.3">
      <c r="A60" s="654"/>
      <c r="B60" s="654"/>
      <c r="C60" s="654"/>
      <c r="D60" s="654"/>
      <c r="E60" s="654"/>
      <c r="F60" s="654"/>
      <c r="G60" s="654"/>
      <c r="J60" s="1084" t="s">
        <v>492</v>
      </c>
      <c r="K60" s="1084"/>
      <c r="L60" s="676"/>
      <c r="M60" s="676"/>
    </row>
    <row r="61" spans="1:18" ht="16.5" hidden="1" thickBot="1" x14ac:dyDescent="0.3">
      <c r="A61" s="959" t="s">
        <v>345</v>
      </c>
      <c r="B61" s="959"/>
      <c r="C61" s="959"/>
      <c r="D61" s="959"/>
      <c r="E61" s="959"/>
      <c r="F61" s="959"/>
      <c r="G61" s="959"/>
      <c r="J61" s="655"/>
      <c r="K61" s="677">
        <v>0.4</v>
      </c>
      <c r="L61" s="677">
        <v>0.6</v>
      </c>
      <c r="M61" s="678">
        <v>0.30199999999999999</v>
      </c>
      <c r="Q61" s="679"/>
    </row>
    <row r="62" spans="1:18" ht="26.25" hidden="1" x14ac:dyDescent="0.25">
      <c r="A62" s="43" t="s">
        <v>95</v>
      </c>
      <c r="B62" s="381" t="s">
        <v>94</v>
      </c>
      <c r="C62" s="374" t="s">
        <v>93</v>
      </c>
      <c r="D62" s="374" t="s">
        <v>92</v>
      </c>
      <c r="E62" s="374" t="s">
        <v>91</v>
      </c>
      <c r="F62" s="374" t="s">
        <v>90</v>
      </c>
      <c r="G62" s="373" t="s">
        <v>89</v>
      </c>
      <c r="J62" s="655">
        <f>I6</f>
        <v>0</v>
      </c>
      <c r="K62" s="247">
        <f>ROUND(J62*K61,0)</f>
        <v>0</v>
      </c>
      <c r="L62" s="247">
        <f>ROUND(J62*L61,0)</f>
        <v>0</v>
      </c>
      <c r="M62" s="247">
        <f>ROUND(J62*30.2%,0)</f>
        <v>0</v>
      </c>
    </row>
    <row r="63" spans="1:18" hidden="1" x14ac:dyDescent="0.25">
      <c r="A63" s="43">
        <f>M12</f>
        <v>44.3</v>
      </c>
      <c r="B63" s="378">
        <f>P12</f>
        <v>11540.04</v>
      </c>
      <c r="C63" s="655">
        <f>Q12</f>
        <v>1.2347307679999999</v>
      </c>
      <c r="D63" s="669"/>
      <c r="E63" s="669">
        <v>1</v>
      </c>
      <c r="F63" s="655">
        <f>ROUND(A63*B63*C63*D63*E63,2)</f>
        <v>0</v>
      </c>
      <c r="G63" s="656">
        <f>ROUND(F63*30.2%,2)</f>
        <v>0</v>
      </c>
      <c r="I63" s="12" t="s">
        <v>493</v>
      </c>
      <c r="J63" s="655">
        <f>ROUND(A63*B63*C63,0)</f>
        <v>631224</v>
      </c>
      <c r="K63" s="247">
        <f>ROUND(J63*K61,0)</f>
        <v>252490</v>
      </c>
      <c r="L63" s="247">
        <f>ROUND(J63*L61,0)</f>
        <v>378734</v>
      </c>
      <c r="M63" s="247">
        <f>ROUND(J63*30.2%,0)</f>
        <v>190630</v>
      </c>
      <c r="R63" s="269"/>
    </row>
    <row r="64" spans="1:18" hidden="1" x14ac:dyDescent="0.25">
      <c r="A64" s="43">
        <v>0</v>
      </c>
      <c r="B64" s="680">
        <v>0</v>
      </c>
      <c r="C64" s="655">
        <v>0</v>
      </c>
      <c r="D64" s="669">
        <v>0</v>
      </c>
      <c r="E64" s="669">
        <v>0</v>
      </c>
      <c r="F64" s="655">
        <f>ROUND(A64*B64*C64*D64*E64,2)</f>
        <v>0</v>
      </c>
      <c r="G64" s="656">
        <f>ROUND(F64*30.2%,2)</f>
        <v>0</v>
      </c>
      <c r="J64" s="655">
        <f>SUM(J62:J63)</f>
        <v>631224</v>
      </c>
      <c r="K64" s="655">
        <f>SUM(K62:K63)</f>
        <v>252490</v>
      </c>
      <c r="L64" s="655">
        <f>SUM(L62:L63)</f>
        <v>378734</v>
      </c>
      <c r="M64" s="655">
        <f>SUM(M62:M63)</f>
        <v>190630</v>
      </c>
    </row>
    <row r="65" spans="1:12" hidden="1" x14ac:dyDescent="0.25">
      <c r="A65" s="43"/>
      <c r="B65" s="681"/>
      <c r="C65" s="669"/>
      <c r="D65" s="669"/>
      <c r="E65" s="669"/>
      <c r="F65" s="655"/>
      <c r="G65" s="656"/>
      <c r="H65" s="35"/>
      <c r="J65" s="682"/>
      <c r="K65" s="682"/>
      <c r="L65" s="682"/>
    </row>
    <row r="66" spans="1:12" hidden="1" x14ac:dyDescent="0.25">
      <c r="A66" s="43">
        <f>A65</f>
        <v>0</v>
      </c>
      <c r="B66" s="681">
        <f>B65</f>
        <v>0</v>
      </c>
      <c r="C66" s="669">
        <f>C65</f>
        <v>0</v>
      </c>
      <c r="D66" s="669"/>
      <c r="E66" s="669">
        <v>1.0549999999999999</v>
      </c>
      <c r="F66" s="655">
        <f>ROUND(A66*B66*C66*D66*E66,2)</f>
        <v>0</v>
      </c>
      <c r="G66" s="656">
        <f>ROUND(F66*30.2%,2)</f>
        <v>0</v>
      </c>
      <c r="J66" s="682"/>
      <c r="K66" s="682"/>
      <c r="L66" s="682"/>
    </row>
    <row r="67" spans="1:12" hidden="1" x14ac:dyDescent="0.25">
      <c r="A67" s="43">
        <f>V11</f>
        <v>42.3</v>
      </c>
      <c r="B67" s="681">
        <f>Y11</f>
        <v>8573.3700000000008</v>
      </c>
      <c r="C67" s="669">
        <f>Z11</f>
        <v>1.1909678690000001</v>
      </c>
      <c r="D67" s="669"/>
      <c r="E67" s="669">
        <v>1.0549999999999999</v>
      </c>
      <c r="F67" s="655">
        <f>ROUND(A67*B67*C67*D67*E67,2)</f>
        <v>0</v>
      </c>
      <c r="G67" s="656">
        <f>ROUND(F67*30.2%,2)</f>
        <v>0</v>
      </c>
      <c r="J67" s="682"/>
      <c r="K67" s="682"/>
      <c r="L67" s="682"/>
    </row>
    <row r="68" spans="1:12" ht="15.75" hidden="1" thickBot="1" x14ac:dyDescent="0.3">
      <c r="A68" s="43"/>
      <c r="B68" s="683"/>
      <c r="C68" s="657"/>
      <c r="D68" s="657"/>
      <c r="E68" s="657"/>
      <c r="F68" s="657">
        <f>SUM(F63:F67)</f>
        <v>0</v>
      </c>
      <c r="G68" s="658">
        <f>SUM(G63:G67)</f>
        <v>0</v>
      </c>
    </row>
    <row r="69" spans="1:12" hidden="1" x14ac:dyDescent="0.25">
      <c r="A69" s="43"/>
    </row>
    <row r="70" spans="1:12" x14ac:dyDescent="0.25">
      <c r="A70" s="43"/>
    </row>
    <row r="71" spans="1:12" ht="90.75" x14ac:dyDescent="0.25">
      <c r="A71" s="684"/>
      <c r="B71" s="685" t="s">
        <v>494</v>
      </c>
      <c r="C71" s="655" t="s">
        <v>124</v>
      </c>
      <c r="D71" s="655" t="s">
        <v>92</v>
      </c>
      <c r="E71" s="685" t="s">
        <v>495</v>
      </c>
      <c r="G71" s="12" t="s">
        <v>97</v>
      </c>
    </row>
    <row r="72" spans="1:12" x14ac:dyDescent="0.25">
      <c r="A72" s="43"/>
      <c r="B72" s="690" t="s">
        <v>496</v>
      </c>
      <c r="C72" s="655"/>
      <c r="D72" s="655">
        <v>1</v>
      </c>
      <c r="E72" s="655">
        <f>C72*D72</f>
        <v>0</v>
      </c>
    </row>
    <row r="73" spans="1:12" x14ac:dyDescent="0.25">
      <c r="A73" s="43"/>
      <c r="B73" s="655"/>
      <c r="C73" s="655"/>
      <c r="D73" s="655"/>
      <c r="E73" s="655">
        <f>B73*C73*D73</f>
        <v>0</v>
      </c>
    </row>
    <row r="74" spans="1:12" x14ac:dyDescent="0.25">
      <c r="A74" s="43"/>
    </row>
    <row r="75" spans="1:12" x14ac:dyDescent="0.25">
      <c r="A75" s="43"/>
    </row>
    <row r="76" spans="1:12" x14ac:dyDescent="0.25">
      <c r="A76" s="43"/>
    </row>
    <row r="77" spans="1:12" x14ac:dyDescent="0.25">
      <c r="A77" s="371"/>
      <c r="B77" s="15" t="s">
        <v>497</v>
      </c>
      <c r="C77" s="70"/>
      <c r="D77" s="211"/>
      <c r="E77" s="941" t="s">
        <v>498</v>
      </c>
      <c r="F77" s="942"/>
      <c r="G77" s="13"/>
    </row>
    <row r="78" spans="1:12" x14ac:dyDescent="0.25">
      <c r="B78" s="67"/>
      <c r="C78" s="67"/>
      <c r="D78" s="67"/>
      <c r="E78" s="67"/>
      <c r="F78" s="14"/>
      <c r="G78" s="13"/>
    </row>
    <row r="79" spans="1:12" x14ac:dyDescent="0.25">
      <c r="B79" s="11" t="s">
        <v>303</v>
      </c>
      <c r="C79" s="67"/>
      <c r="D79" s="212"/>
      <c r="E79" s="941" t="s">
        <v>499</v>
      </c>
      <c r="F79" s="942"/>
      <c r="G79" s="13"/>
    </row>
    <row r="80" spans="1:12" x14ac:dyDescent="0.25">
      <c r="B80" s="65"/>
      <c r="C80" s="65"/>
      <c r="D80" s="369"/>
      <c r="E80" s="369"/>
      <c r="F80" s="11"/>
      <c r="G80" s="13"/>
    </row>
    <row r="81" spans="1:7" x14ac:dyDescent="0.25">
      <c r="B81" s="65"/>
      <c r="C81" s="65"/>
      <c r="D81" s="65"/>
      <c r="E81" s="11"/>
      <c r="F81" s="11"/>
      <c r="G81" s="13"/>
    </row>
    <row r="82" spans="1:7" x14ac:dyDescent="0.25">
      <c r="A82" s="43"/>
    </row>
  </sheetData>
  <mergeCells count="14">
    <mergeCell ref="E79:F79"/>
    <mergeCell ref="G1:H1"/>
    <mergeCell ref="B2:H2"/>
    <mergeCell ref="G3:H3"/>
    <mergeCell ref="B4:H4"/>
    <mergeCell ref="B13:H13"/>
    <mergeCell ref="D28:E28"/>
    <mergeCell ref="F58:G58"/>
    <mergeCell ref="A59:G59"/>
    <mergeCell ref="J60:K60"/>
    <mergeCell ref="A61:G61"/>
    <mergeCell ref="E25:F25"/>
    <mergeCell ref="E27:F27"/>
    <mergeCell ref="E77:F77"/>
  </mergeCells>
  <pageMargins left="0.31496062992125984" right="0.31496062992125984" top="0.74803149606299213" bottom="0.74803149606299213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127"/>
  <sheetViews>
    <sheetView view="pageBreakPreview" topLeftCell="A27" zoomScaleSheetLayoutView="100" workbookViewId="0">
      <selection activeCell="F39" sqref="F39"/>
    </sheetView>
  </sheetViews>
  <sheetFormatPr defaultColWidth="9.140625" defaultRowHeight="12.75" x14ac:dyDescent="0.2"/>
  <cols>
    <col min="1" max="1" width="28.28515625" style="67" customWidth="1"/>
    <col min="2" max="2" width="5" style="67" bestFit="1" customWidth="1"/>
    <col min="3" max="3" width="0.140625" style="67" customWidth="1"/>
    <col min="4" max="4" width="11.7109375" style="67" hidden="1" customWidth="1"/>
    <col min="5" max="5" width="10.140625" style="67" hidden="1" customWidth="1"/>
    <col min="6" max="6" width="15.85546875" style="67" customWidth="1"/>
    <col min="7" max="12" width="14.28515625" style="68" customWidth="1"/>
    <col min="13" max="13" width="17" style="68" customWidth="1"/>
    <col min="14" max="14" width="16.28515625" style="67" customWidth="1"/>
    <col min="15" max="15" width="15.85546875" style="67" hidden="1" customWidth="1"/>
    <col min="16" max="83" width="9.140625" style="68"/>
    <col min="84" max="16384" width="9.140625" style="67"/>
  </cols>
  <sheetData>
    <row r="1" spans="1:83" ht="36.75" customHeight="1" x14ac:dyDescent="0.2">
      <c r="A1" s="924" t="s">
        <v>217</v>
      </c>
      <c r="B1" s="924"/>
      <c r="C1" s="924"/>
      <c r="D1" s="924"/>
      <c r="E1" s="924"/>
      <c r="F1" s="924"/>
      <c r="G1" s="924"/>
      <c r="H1" s="924"/>
      <c r="I1" s="924"/>
      <c r="J1" s="924"/>
      <c r="K1" s="746"/>
      <c r="L1" s="746"/>
      <c r="N1" s="68"/>
      <c r="O1" s="68"/>
    </row>
    <row r="2" spans="1:83" ht="49.5" customHeight="1" x14ac:dyDescent="0.2">
      <c r="A2" s="201" t="s">
        <v>253</v>
      </c>
      <c r="B2" s="934" t="str">
        <f>мз!A14</f>
        <v>муниципальное бюджетное общеобразовательное учреждение "Средняя общеобразовательная школа № 43 г. Пензы"</v>
      </c>
      <c r="C2" s="934"/>
      <c r="D2" s="934"/>
      <c r="E2" s="934"/>
      <c r="F2" s="934"/>
      <c r="G2" s="934"/>
      <c r="H2" s="934"/>
      <c r="I2" s="934"/>
      <c r="J2" s="934"/>
      <c r="K2" s="751"/>
      <c r="L2" s="751"/>
      <c r="M2" s="160"/>
      <c r="N2" s="68"/>
      <c r="O2" s="68"/>
      <c r="P2" s="160"/>
      <c r="Q2" s="160"/>
    </row>
    <row r="3" spans="1:83" ht="113.25" customHeight="1" x14ac:dyDescent="0.25">
      <c r="A3" s="923" t="s">
        <v>240</v>
      </c>
      <c r="B3" s="923"/>
      <c r="C3" s="923"/>
      <c r="D3" s="923"/>
      <c r="E3" s="923"/>
      <c r="F3" s="923"/>
      <c r="G3" s="209" t="s">
        <v>234</v>
      </c>
      <c r="H3" s="209" t="s">
        <v>235</v>
      </c>
      <c r="I3" s="209" t="s">
        <v>236</v>
      </c>
      <c r="J3" s="209" t="s">
        <v>238</v>
      </c>
      <c r="K3" s="209" t="s">
        <v>569</v>
      </c>
      <c r="L3" s="209" t="s">
        <v>574</v>
      </c>
      <c r="M3" s="687" t="s">
        <v>445</v>
      </c>
      <c r="N3" s="610" t="s">
        <v>478</v>
      </c>
      <c r="O3" s="610" t="s">
        <v>478</v>
      </c>
    </row>
    <row r="4" spans="1:83" ht="8.25" customHeight="1" x14ac:dyDescent="0.2"/>
    <row r="5" spans="1:83" ht="33.75" customHeight="1" x14ac:dyDescent="0.3">
      <c r="A5" s="938" t="s">
        <v>216</v>
      </c>
      <c r="B5" s="938"/>
      <c r="C5" s="938"/>
      <c r="D5" s="938"/>
      <c r="E5" s="938"/>
      <c r="F5" s="938"/>
      <c r="G5" s="938"/>
      <c r="H5" s="938"/>
      <c r="I5" s="938"/>
      <c r="J5" s="938"/>
      <c r="K5" s="747"/>
      <c r="L5" s="747"/>
      <c r="N5" s="68"/>
      <c r="O5" s="68"/>
    </row>
    <row r="6" spans="1:83" ht="25.5" customHeight="1" x14ac:dyDescent="0.3">
      <c r="A6" s="159" t="s">
        <v>215</v>
      </c>
      <c r="B6" s="157"/>
      <c r="C6" s="157"/>
      <c r="E6" s="157"/>
      <c r="F6" s="158">
        <f>G6+H6+I6+J6+K6+L6</f>
        <v>516</v>
      </c>
      <c r="G6" s="158">
        <f>'проверка 2020'!I4</f>
        <v>236</v>
      </c>
      <c r="H6" s="158">
        <f>'проверка 2020'!K4</f>
        <v>226</v>
      </c>
      <c r="I6" s="158">
        <f>'проверка 2020'!M4</f>
        <v>50</v>
      </c>
      <c r="J6" s="158">
        <f>'проверка 2020'!J4</f>
        <v>2</v>
      </c>
      <c r="K6" s="158">
        <f>'проверка 2020'!L4</f>
        <v>2</v>
      </c>
      <c r="L6" s="158">
        <f>'проверка 2020'!N4</f>
        <v>0</v>
      </c>
      <c r="M6" s="158">
        <f>'проверка фок'!D32</f>
        <v>0</v>
      </c>
      <c r="N6" s="158"/>
      <c r="O6" s="158">
        <f>'проверка фок'!D4</f>
        <v>0</v>
      </c>
    </row>
    <row r="7" spans="1:83" ht="9" customHeight="1" thickBot="1" x14ac:dyDescent="0.25">
      <c r="P7" s="110"/>
      <c r="Q7" s="110"/>
      <c r="R7" s="110"/>
    </row>
    <row r="8" spans="1:83" ht="102.75" customHeight="1" thickBot="1" x14ac:dyDescent="0.25">
      <c r="A8" s="206" t="s">
        <v>214</v>
      </c>
      <c r="B8" s="207" t="s">
        <v>213</v>
      </c>
      <c r="C8" s="207" t="s">
        <v>92</v>
      </c>
      <c r="D8" s="207" t="s">
        <v>212</v>
      </c>
      <c r="E8" s="207" t="s">
        <v>91</v>
      </c>
      <c r="F8" s="208" t="s">
        <v>211</v>
      </c>
      <c r="G8" s="207" t="s">
        <v>212</v>
      </c>
      <c r="H8" s="207" t="s">
        <v>212</v>
      </c>
      <c r="I8" s="207" t="s">
        <v>212</v>
      </c>
      <c r="J8" s="207" t="s">
        <v>212</v>
      </c>
      <c r="K8" s="207" t="s">
        <v>212</v>
      </c>
      <c r="L8" s="207" t="s">
        <v>212</v>
      </c>
      <c r="M8" s="207" t="s">
        <v>212</v>
      </c>
      <c r="N8" s="208" t="s">
        <v>467</v>
      </c>
      <c r="O8" s="207" t="s">
        <v>212</v>
      </c>
      <c r="P8" s="110"/>
      <c r="Q8" s="110"/>
      <c r="R8" s="110"/>
    </row>
    <row r="9" spans="1:83" ht="36.75" customHeight="1" thickBot="1" x14ac:dyDescent="0.25">
      <c r="A9" s="935" t="s">
        <v>210</v>
      </c>
      <c r="B9" s="936"/>
      <c r="C9" s="936"/>
      <c r="D9" s="936"/>
      <c r="E9" s="936"/>
      <c r="F9" s="936"/>
      <c r="G9" s="936"/>
      <c r="H9" s="936"/>
      <c r="I9" s="936"/>
      <c r="J9" s="937"/>
      <c r="K9" s="750"/>
      <c r="L9" s="750"/>
      <c r="N9" s="68"/>
      <c r="O9" s="68"/>
      <c r="P9" s="110"/>
      <c r="Q9" s="110"/>
      <c r="R9" s="110"/>
    </row>
    <row r="10" spans="1:83" ht="45.75" customHeight="1" x14ac:dyDescent="0.2">
      <c r="A10" s="151" t="s">
        <v>207</v>
      </c>
      <c r="B10" s="101" t="s">
        <v>183</v>
      </c>
      <c r="C10" s="156">
        <v>12</v>
      </c>
      <c r="D10" s="101">
        <f>ROUND(F10/F6,2)</f>
        <v>19047.75</v>
      </c>
      <c r="E10" s="101"/>
      <c r="F10" s="180">
        <f t="shared" ref="F10:I11" si="0">F16+F21</f>
        <v>9828641</v>
      </c>
      <c r="G10" s="180">
        <f>G16+G21</f>
        <v>19047.759999999998</v>
      </c>
      <c r="H10" s="180">
        <f t="shared" si="0"/>
        <v>19047.759999999998</v>
      </c>
      <c r="I10" s="180">
        <f t="shared" si="0"/>
        <v>19047.759999999998</v>
      </c>
      <c r="J10" s="180">
        <f t="shared" ref="J10:L11" si="1">J16+J21</f>
        <v>19016.73</v>
      </c>
      <c r="K10" s="180">
        <f t="shared" si="1"/>
        <v>-1121.28</v>
      </c>
      <c r="L10" s="180">
        <f t="shared" si="1"/>
        <v>0</v>
      </c>
      <c r="M10" s="180"/>
      <c r="N10" s="180">
        <f t="shared" ref="N10" si="2">N16+N21</f>
        <v>0</v>
      </c>
      <c r="O10" s="627" t="e">
        <f t="shared" ref="O10" si="3">O16+O21</f>
        <v>#DIV/0!</v>
      </c>
      <c r="P10" s="110"/>
      <c r="Q10" s="110"/>
      <c r="R10" s="110"/>
    </row>
    <row r="11" spans="1:83" ht="46.5" customHeight="1" x14ac:dyDescent="0.2">
      <c r="A11" s="149" t="s">
        <v>206</v>
      </c>
      <c r="B11" s="96" t="s">
        <v>183</v>
      </c>
      <c r="C11" s="147">
        <v>12</v>
      </c>
      <c r="D11" s="132">
        <f>ROUND(F11/F6,2)</f>
        <v>5752.42</v>
      </c>
      <c r="E11" s="96"/>
      <c r="F11" s="181">
        <f t="shared" si="0"/>
        <v>2968250</v>
      </c>
      <c r="G11" s="181">
        <f t="shared" si="0"/>
        <v>5752.4199999999983</v>
      </c>
      <c r="H11" s="181">
        <f t="shared" si="0"/>
        <v>5752.4199999999983</v>
      </c>
      <c r="I11" s="181">
        <f t="shared" si="0"/>
        <v>5752.4199999999983</v>
      </c>
      <c r="J11" s="181">
        <f t="shared" si="1"/>
        <v>5743.0499999999956</v>
      </c>
      <c r="K11" s="181">
        <f t="shared" si="1"/>
        <v>-338.63000000000011</v>
      </c>
      <c r="L11" s="181">
        <f t="shared" si="1"/>
        <v>0</v>
      </c>
      <c r="M11" s="181"/>
      <c r="N11" s="181">
        <f t="shared" ref="N11" si="4">N17+N22</f>
        <v>0</v>
      </c>
      <c r="O11" s="628" t="e">
        <f t="shared" ref="O11" si="5">O17+O22</f>
        <v>#DIV/0!</v>
      </c>
      <c r="P11" s="110"/>
      <c r="Q11" s="110"/>
      <c r="R11" s="110"/>
    </row>
    <row r="12" spans="1:83" ht="22.5" x14ac:dyDescent="0.2">
      <c r="A12" s="149" t="s">
        <v>280</v>
      </c>
      <c r="B12" s="96" t="s">
        <v>183</v>
      </c>
      <c r="C12" s="147">
        <v>12</v>
      </c>
      <c r="D12" s="132">
        <f>ROUND(F12/F6,2)</f>
        <v>40.4</v>
      </c>
      <c r="E12" s="96"/>
      <c r="F12" s="132">
        <f t="shared" ref="F12:M12" si="6">F23</f>
        <v>20848</v>
      </c>
      <c r="G12" s="181">
        <f t="shared" si="6"/>
        <v>40.4</v>
      </c>
      <c r="H12" s="181">
        <f t="shared" si="6"/>
        <v>40.4</v>
      </c>
      <c r="I12" s="132">
        <f t="shared" si="6"/>
        <v>40.4</v>
      </c>
      <c r="J12" s="132">
        <f t="shared" si="6"/>
        <v>40.4</v>
      </c>
      <c r="K12" s="132">
        <f t="shared" ref="K12" si="7">K23</f>
        <v>0</v>
      </c>
      <c r="L12" s="132">
        <f t="shared" ref="L12" si="8">L23</f>
        <v>0</v>
      </c>
      <c r="M12" s="132">
        <f t="shared" si="6"/>
        <v>0</v>
      </c>
      <c r="N12" s="132">
        <f t="shared" ref="N12" si="9">N23</f>
        <v>0</v>
      </c>
      <c r="O12" s="628">
        <f t="shared" ref="O12" si="10">O23</f>
        <v>0</v>
      </c>
      <c r="P12" s="110"/>
      <c r="Q12" s="110"/>
      <c r="R12" s="110"/>
    </row>
    <row r="13" spans="1:83" ht="44.25" customHeight="1" x14ac:dyDescent="0.2">
      <c r="A13" s="154" t="s">
        <v>233</v>
      </c>
      <c r="B13" s="96" t="s">
        <v>183</v>
      </c>
      <c r="C13" s="96"/>
      <c r="D13" s="132">
        <f>ROUND(F13/F6,2)</f>
        <v>1457.91</v>
      </c>
      <c r="E13" s="96"/>
      <c r="F13" s="181">
        <f t="shared" ref="F13:M13" si="11">F18+F24</f>
        <v>752282</v>
      </c>
      <c r="G13" s="181">
        <f t="shared" si="11"/>
        <v>1457.91</v>
      </c>
      <c r="H13" s="132">
        <f t="shared" si="11"/>
        <v>1457.91</v>
      </c>
      <c r="I13" s="132">
        <f t="shared" si="11"/>
        <v>1457.91</v>
      </c>
      <c r="J13" s="132">
        <f t="shared" si="11"/>
        <v>1457.91</v>
      </c>
      <c r="K13" s="132">
        <f t="shared" ref="K13" si="12">K18+K24</f>
        <v>1457.91</v>
      </c>
      <c r="L13" s="132">
        <f t="shared" ref="L13" si="13">L18+L24</f>
        <v>0</v>
      </c>
      <c r="M13" s="132">
        <f t="shared" si="11"/>
        <v>0</v>
      </c>
      <c r="N13" s="181">
        <f t="shared" ref="N13" si="14">N18+N24</f>
        <v>0</v>
      </c>
      <c r="O13" s="628" t="e">
        <f t="shared" ref="O13" si="15">O18+O24</f>
        <v>#DIV/0!</v>
      </c>
      <c r="P13" s="110"/>
      <c r="Q13" s="110"/>
      <c r="R13" s="110"/>
    </row>
    <row r="14" spans="1:83" s="115" customFormat="1" ht="18" customHeight="1" thickBot="1" x14ac:dyDescent="0.25">
      <c r="A14" s="153" t="s">
        <v>106</v>
      </c>
      <c r="B14" s="146"/>
      <c r="C14" s="146"/>
      <c r="D14" s="146">
        <f>SUM(D10:E13)-0.01</f>
        <v>26298.47</v>
      </c>
      <c r="E14" s="146"/>
      <c r="F14" s="146">
        <f>SUM(F10:F13)</f>
        <v>13570021</v>
      </c>
      <c r="G14" s="152">
        <f>IF(G6=0,0,G10+G11+G12)+IF(G6=0,0,G9/G6)+G13</f>
        <v>26298.489999999998</v>
      </c>
      <c r="H14" s="146">
        <f>IF(H6=0,0,H10+H11+H12)+IF(H6=0,0,H9/H6)+H13</f>
        <v>26298.489999999998</v>
      </c>
      <c r="I14" s="146">
        <f>IF(I6=0,0,I10+I11+I12)+IF(I6=0,0,I9/I6)+I13</f>
        <v>26298.489999999998</v>
      </c>
      <c r="J14" s="146">
        <f>IF(J6=0,0,(J10+J11+J12)+IF(J8=0,0,J9/J6)+J13)</f>
        <v>26258.089999999997</v>
      </c>
      <c r="K14" s="146">
        <f>IF(K6=0,0,(K10+K11+K12)+IF(K8=0,0,K9/K6)+K13)</f>
        <v>-2</v>
      </c>
      <c r="L14" s="146">
        <f>IF(L6=0,0,(L10+L11+L12)+IF(L8=0,0,L9/L6)+L13)</f>
        <v>0</v>
      </c>
      <c r="M14" s="146">
        <f>IF(M6=0,0,(M10+M11+M12)+IF(M8=0,0,M9/M6)+M13)</f>
        <v>0</v>
      </c>
      <c r="N14" s="146">
        <f>SUM(N10:N13)</f>
        <v>0</v>
      </c>
      <c r="O14" s="629" t="e">
        <f>SUM(O10:O13)</f>
        <v>#DIV/0!</v>
      </c>
      <c r="P14" s="110"/>
      <c r="Q14" s="110"/>
      <c r="R14" s="110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</row>
    <row r="15" spans="1:83" s="110" customFormat="1" ht="31.5" customHeight="1" thickBot="1" x14ac:dyDescent="0.25">
      <c r="A15" s="930" t="s">
        <v>209</v>
      </c>
      <c r="B15" s="931"/>
      <c r="C15" s="931"/>
      <c r="D15" s="931"/>
      <c r="E15" s="931"/>
      <c r="F15" s="931"/>
      <c r="G15" s="931"/>
      <c r="H15" s="931"/>
      <c r="I15" s="931"/>
      <c r="J15" s="931"/>
      <c r="K15" s="745"/>
      <c r="L15" s="745"/>
      <c r="O15" s="630"/>
    </row>
    <row r="16" spans="1:83" s="110" customFormat="1" ht="47.25" customHeight="1" thickBot="1" x14ac:dyDescent="0.25">
      <c r="A16" s="151" t="s">
        <v>207</v>
      </c>
      <c r="B16" s="101" t="s">
        <v>183</v>
      </c>
      <c r="C16" s="101">
        <v>12</v>
      </c>
      <c r="D16" s="180">
        <f>ROUND(F16/F6,2)</f>
        <v>0</v>
      </c>
      <c r="E16" s="101"/>
      <c r="F16" s="180">
        <f>'пр.1+2 '!F9</f>
        <v>0</v>
      </c>
      <c r="G16" s="180">
        <f>IF(G$6=0,0,D16)</f>
        <v>0</v>
      </c>
      <c r="H16" s="180">
        <f>IF(H$6=0,0,D16)</f>
        <v>0</v>
      </c>
      <c r="I16" s="180">
        <f>IF(I$6=0,0,D16)</f>
        <v>0</v>
      </c>
      <c r="J16" s="100">
        <f t="shared" ref="J16:K18" si="16">IF(J$6=0,0,D16)</f>
        <v>0</v>
      </c>
      <c r="K16" s="100">
        <f t="shared" si="16"/>
        <v>0</v>
      </c>
      <c r="L16" s="100">
        <f>IF(L$6=0,0,E16)</f>
        <v>0</v>
      </c>
      <c r="M16" s="100">
        <f>IF(M$6=0,0,E16)</f>
        <v>0</v>
      </c>
      <c r="N16" s="180">
        <f>'прил.1+2 фок'!G11+'прил.1+2 фок'!G87</f>
        <v>0</v>
      </c>
      <c r="O16" s="627" t="e">
        <f>ROUND(N16/O6,5)</f>
        <v>#DIV/0!</v>
      </c>
    </row>
    <row r="17" spans="1:83" s="110" customFormat="1" ht="57.75" customHeight="1" thickBot="1" x14ac:dyDescent="0.25">
      <c r="A17" s="149" t="s">
        <v>206</v>
      </c>
      <c r="B17" s="236" t="s">
        <v>183</v>
      </c>
      <c r="C17" s="236">
        <v>12</v>
      </c>
      <c r="D17" s="182">
        <f>ROUND(F17/F6,2)</f>
        <v>0</v>
      </c>
      <c r="E17" s="236"/>
      <c r="F17" s="612">
        <v>0</v>
      </c>
      <c r="G17" s="182">
        <f>IF(G$6=0,0,D17)</f>
        <v>0</v>
      </c>
      <c r="H17" s="182">
        <f>IF(H$6=0,0,D17)</f>
        <v>0</v>
      </c>
      <c r="I17" s="182">
        <f>IF(I$6=0,0,D17)</f>
        <v>0</v>
      </c>
      <c r="J17" s="95">
        <f t="shared" si="16"/>
        <v>0</v>
      </c>
      <c r="K17" s="95">
        <f t="shared" si="16"/>
        <v>0</v>
      </c>
      <c r="L17" s="95">
        <f>IF(L$6=0,0,E17)</f>
        <v>0</v>
      </c>
      <c r="M17" s="95">
        <f>IF(M$6=0,0,E17)</f>
        <v>0</v>
      </c>
      <c r="N17" s="609">
        <f>'прил.1+2 фок'!H11+'прил.1+2 фок'!D25+'прил.1+2 фок'!D26+'прил.1+2 фок'!H87</f>
        <v>0</v>
      </c>
      <c r="O17" s="627" t="e">
        <f>ROUND(N17/O6,5)</f>
        <v>#DIV/0!</v>
      </c>
    </row>
    <row r="18" spans="1:83" s="110" customFormat="1" ht="42.75" customHeight="1" x14ac:dyDescent="0.2">
      <c r="A18" s="154" t="s">
        <v>205</v>
      </c>
      <c r="B18" s="236" t="s">
        <v>183</v>
      </c>
      <c r="C18" s="236"/>
      <c r="D18" s="182">
        <f>ROUND(F18/F6,2)</f>
        <v>0</v>
      </c>
      <c r="E18" s="236"/>
      <c r="F18" s="182">
        <f>'пр.1+2 '!D13</f>
        <v>0</v>
      </c>
      <c r="G18" s="182">
        <f>IF(G$6=0,0,D18)</f>
        <v>0</v>
      </c>
      <c r="H18" s="182">
        <f>IF(H$6=0,0,D18)</f>
        <v>0</v>
      </c>
      <c r="I18" s="182">
        <f>IF(I$6=0,0,D18)</f>
        <v>0</v>
      </c>
      <c r="J18" s="95">
        <f t="shared" si="16"/>
        <v>0</v>
      </c>
      <c r="K18" s="95">
        <f t="shared" si="16"/>
        <v>0</v>
      </c>
      <c r="L18" s="95">
        <f>IF(L$6=0,0,E18)</f>
        <v>0</v>
      </c>
      <c r="M18" s="95">
        <f>IF(M$6=0,0,E18)</f>
        <v>0</v>
      </c>
      <c r="N18" s="182"/>
      <c r="O18" s="627" t="e">
        <f>ROUND(N18/O6,5)</f>
        <v>#DIV/0!</v>
      </c>
    </row>
    <row r="19" spans="1:83" s="110" customFormat="1" ht="21.75" customHeight="1" thickBot="1" x14ac:dyDescent="0.25">
      <c r="A19" s="153" t="s">
        <v>106</v>
      </c>
      <c r="B19" s="146"/>
      <c r="C19" s="146"/>
      <c r="D19" s="152">
        <f>SUM(D16:D18)</f>
        <v>0</v>
      </c>
      <c r="E19" s="146"/>
      <c r="F19" s="152">
        <f t="shared" ref="F19:M19" si="17">SUM(F16:F18)</f>
        <v>0</v>
      </c>
      <c r="G19" s="152">
        <f t="shared" si="17"/>
        <v>0</v>
      </c>
      <c r="H19" s="152">
        <f t="shared" si="17"/>
        <v>0</v>
      </c>
      <c r="I19" s="152">
        <f t="shared" si="17"/>
        <v>0</v>
      </c>
      <c r="J19" s="126">
        <f t="shared" si="17"/>
        <v>0</v>
      </c>
      <c r="K19" s="126">
        <f t="shared" ref="K19" si="18">SUM(K16:K18)</f>
        <v>0</v>
      </c>
      <c r="L19" s="126">
        <f t="shared" ref="L19" si="19">SUM(L16:L18)</f>
        <v>0</v>
      </c>
      <c r="M19" s="126">
        <f t="shared" si="17"/>
        <v>0</v>
      </c>
      <c r="N19" s="152">
        <f t="shared" ref="N19:O19" si="20">SUM(N16:N18)</f>
        <v>0</v>
      </c>
      <c r="O19" s="629" t="e">
        <f t="shared" si="20"/>
        <v>#DIV/0!</v>
      </c>
    </row>
    <row r="20" spans="1:83" s="110" customFormat="1" ht="36.75" customHeight="1" thickBot="1" x14ac:dyDescent="0.25">
      <c r="A20" s="921" t="s">
        <v>208</v>
      </c>
      <c r="B20" s="922"/>
      <c r="C20" s="922"/>
      <c r="D20" s="922"/>
      <c r="E20" s="922"/>
      <c r="F20" s="922"/>
      <c r="G20" s="922"/>
      <c r="H20" s="922"/>
      <c r="I20" s="922"/>
      <c r="J20" s="922"/>
      <c r="K20" s="745"/>
      <c r="L20" s="745"/>
      <c r="O20" s="630"/>
      <c r="P20" s="68"/>
      <c r="Q20" s="68"/>
      <c r="R20" s="68"/>
    </row>
    <row r="21" spans="1:83" s="110" customFormat="1" ht="46.5" customHeight="1" thickBot="1" x14ac:dyDescent="0.25">
      <c r="A21" s="151" t="s">
        <v>207</v>
      </c>
      <c r="B21" s="101" t="s">
        <v>183</v>
      </c>
      <c r="C21" s="156">
        <v>12</v>
      </c>
      <c r="D21" s="180">
        <f>ROUND(F21/F6,2)</f>
        <v>19047.75</v>
      </c>
      <c r="E21" s="101"/>
      <c r="F21" s="180">
        <f>'пр.1+2 '!F38</f>
        <v>9828641</v>
      </c>
      <c r="G21" s="180">
        <f>IF(G6=0,0,ROUND((ROUND(('проверка 2020'!I19*'проверка 2020'!I4+'проверка 2020'!J19*'проверка 2020'!J4)/('проверка 2020'!I4+'проверка 2020'!J4),2)-свод!G37-свод!G23-свод!G24)/1.302,2))</f>
        <v>19047.759999999998</v>
      </c>
      <c r="H21" s="180">
        <f>IF(H6=0,0,ROUND((ROUND(('проверка 2020'!K19*'проверка 2020'!K4+'проверка 2020'!L19*'проверка 2020'!L4)/('проверка 2020'!K4+'проверка 2020'!L4),2)-свод!H37-свод!H23-свод!H24)/1.302,2))</f>
        <v>19047.759999999998</v>
      </c>
      <c r="I21" s="180">
        <f>IF(I6=0,0,ROUND((ROUND(('проверка 2020'!M19*'проверка 2020'!M4+'проверка 2020'!N19*'проверка 2020'!N4)/('проверка 2020'!M4+'проверка 2020'!N4),2)-свод!I37-свод!I23-свод!I24)/1.302,2))</f>
        <v>19047.759999999998</v>
      </c>
      <c r="J21" s="100">
        <f>IF(J6=0,0,ROUND(('проверка 2020'!O19-свод!J37-свод!J23-свод!J24)/1.302,2))</f>
        <v>19016.73</v>
      </c>
      <c r="K21" s="100">
        <f>IF(K6=0,0,ROUND(('проверка 2020'!P19-свод!K37-свод!K23-свод!K24)/1.302,2))</f>
        <v>-1121.28</v>
      </c>
      <c r="L21" s="100">
        <f>IF(L6=0,0,ROUND(('проверка 2020'!P19-свод!L37-свод!L23-свод!L24)/1.302,2))</f>
        <v>0</v>
      </c>
      <c r="M21" s="100"/>
      <c r="N21" s="607"/>
      <c r="O21" s="627"/>
      <c r="P21" s="68"/>
      <c r="Q21" s="68"/>
      <c r="R21" s="68"/>
    </row>
    <row r="22" spans="1:83" s="110" customFormat="1" ht="54.75" customHeight="1" thickBot="1" x14ac:dyDescent="0.25">
      <c r="A22" s="149" t="s">
        <v>206</v>
      </c>
      <c r="B22" s="96" t="s">
        <v>183</v>
      </c>
      <c r="C22" s="147">
        <v>12</v>
      </c>
      <c r="D22" s="181">
        <f>ROUND(F22/F6,2)</f>
        <v>5752.42</v>
      </c>
      <c r="E22" s="96"/>
      <c r="F22" s="613">
        <f>'пр.1+2 '!G38+'пр.1+2 '!D51+'пр.1+2 '!D52</f>
        <v>2968250</v>
      </c>
      <c r="G22" s="181">
        <f>IF(G6=0,0,ROUND(('проверка 2020'!I19*'проверка 2020'!I4+'проверка 2020'!J19*'проверка 2020'!J4)/('проверка 2020'!I4+'проверка 2020'!J4),2)-свод!G23-свод!G24-свод!G37-свод!G21)</f>
        <v>5752.4199999999983</v>
      </c>
      <c r="H22" s="181">
        <f>IF(H6=0,0,ROUND(('проверка 2020'!K19*'проверка 2020'!K4+'проверка 2020'!L19*'проверка 2020'!L4)/('проверка 2020'!K4+'проверка 2020'!L4),2)-свод!H23-свод!H24-свод!H37-свод!H21)</f>
        <v>5752.4199999999983</v>
      </c>
      <c r="I22" s="181">
        <f>IF(I6=0,0,ROUND(('проверка 2020'!N19*'проверка 2020'!N4+'проверка 2020'!M19*'проверка 2020'!M4)/('проверка 2020'!N4+'проверка 2020'!M4),2)-свод!I23-свод!I24-свод!I37-свод!I21)</f>
        <v>5752.4199999999983</v>
      </c>
      <c r="J22" s="155">
        <f>IF(J6=0,0,'проверка 2020'!O19-свод!J23-свод!J24-свод!J37-свод!J21)</f>
        <v>5743.0499999999956</v>
      </c>
      <c r="K22" s="155">
        <f>IF(K6=0,0,'проверка 2020'!P19-свод!K23-свод!K24-свод!K37-свод!K21)</f>
        <v>-338.63000000000011</v>
      </c>
      <c r="L22" s="155">
        <f>IF(L6=0,0,'проверка 2020'!P19-свод!L23-свод!L24-свод!L37-свод!L21)</f>
        <v>0</v>
      </c>
      <c r="M22" s="155"/>
      <c r="N22" s="608"/>
      <c r="O22" s="627"/>
      <c r="P22" s="68"/>
      <c r="Q22" s="68"/>
      <c r="R22" s="68"/>
    </row>
    <row r="23" spans="1:83" s="110" customFormat="1" ht="22.5" x14ac:dyDescent="0.2">
      <c r="A23" s="149" t="s">
        <v>281</v>
      </c>
      <c r="B23" s="96" t="s">
        <v>183</v>
      </c>
      <c r="C23" s="147"/>
      <c r="D23" s="181">
        <f>ROUND(F23/F6,2)</f>
        <v>40.4</v>
      </c>
      <c r="E23" s="96"/>
      <c r="F23" s="181">
        <f>'пр.1+2 '!D42</f>
        <v>20848</v>
      </c>
      <c r="G23" s="181">
        <f>IF(G$6=0,0,D23)</f>
        <v>40.4</v>
      </c>
      <c r="H23" s="181">
        <f>IF(H$6=0,0,D23)</f>
        <v>40.4</v>
      </c>
      <c r="I23" s="181">
        <f>IF(I$6=0,0,D23)</f>
        <v>40.4</v>
      </c>
      <c r="J23" s="155">
        <f>IF(J$6=0,0,D23)</f>
        <v>40.4</v>
      </c>
      <c r="K23" s="155">
        <f>IF(K$6=0,0,E23)</f>
        <v>0</v>
      </c>
      <c r="L23" s="155">
        <f>IF(L$6=0,0,E23)</f>
        <v>0</v>
      </c>
      <c r="M23" s="155">
        <f>IF(M$6=0,0,E23)</f>
        <v>0</v>
      </c>
      <c r="N23" s="181"/>
      <c r="O23" s="627"/>
      <c r="P23" s="68"/>
      <c r="Q23" s="68"/>
      <c r="R23" s="68"/>
    </row>
    <row r="24" spans="1:83" s="110" customFormat="1" ht="44.25" customHeight="1" x14ac:dyDescent="0.2">
      <c r="A24" s="154" t="s">
        <v>205</v>
      </c>
      <c r="B24" s="96" t="s">
        <v>183</v>
      </c>
      <c r="C24" s="96"/>
      <c r="D24" s="182">
        <f>ROUND(F24/F6,2)</f>
        <v>1457.91</v>
      </c>
      <c r="E24" s="96"/>
      <c r="F24" s="182">
        <f>'пр.1+2 '!D45+'пр.1+2 '!D47+'пр.1+2 '!D43+'пр.1+2 '!D44+'пр.1+2 '!D46</f>
        <v>752282</v>
      </c>
      <c r="G24" s="182">
        <f t="shared" ref="G24:L24" si="21">IF(G$6=0,0,$D$24)</f>
        <v>1457.91</v>
      </c>
      <c r="H24" s="182">
        <f t="shared" si="21"/>
        <v>1457.91</v>
      </c>
      <c r="I24" s="182">
        <f t="shared" si="21"/>
        <v>1457.91</v>
      </c>
      <c r="J24" s="95">
        <f t="shared" si="21"/>
        <v>1457.91</v>
      </c>
      <c r="K24" s="95">
        <f t="shared" si="21"/>
        <v>1457.91</v>
      </c>
      <c r="L24" s="95">
        <f t="shared" si="21"/>
        <v>0</v>
      </c>
      <c r="M24" s="95"/>
      <c r="N24" s="182"/>
      <c r="O24" s="631"/>
      <c r="P24" s="68"/>
      <c r="Q24" s="68"/>
      <c r="R24" s="68"/>
    </row>
    <row r="25" spans="1:83" s="110" customFormat="1" ht="21.75" customHeight="1" thickBot="1" x14ac:dyDescent="0.25">
      <c r="A25" s="153" t="s">
        <v>106</v>
      </c>
      <c r="B25" s="146"/>
      <c r="C25" s="146"/>
      <c r="D25" s="152">
        <f t="shared" ref="D25:J25" si="22">SUM(D21:D24)</f>
        <v>26298.48</v>
      </c>
      <c r="E25" s="152">
        <f t="shared" si="22"/>
        <v>0</v>
      </c>
      <c r="F25" s="152">
        <f t="shared" si="22"/>
        <v>13570021</v>
      </c>
      <c r="G25" s="152">
        <f t="shared" si="22"/>
        <v>26298.489999999998</v>
      </c>
      <c r="H25" s="152">
        <f t="shared" si="22"/>
        <v>26298.489999999998</v>
      </c>
      <c r="I25" s="152">
        <f t="shared" si="22"/>
        <v>26298.489999999998</v>
      </c>
      <c r="J25" s="126">
        <f t="shared" si="22"/>
        <v>26258.089999999997</v>
      </c>
      <c r="K25" s="126">
        <f t="shared" ref="K25" si="23">SUM(K21:K24)</f>
        <v>-2</v>
      </c>
      <c r="L25" s="126">
        <f t="shared" ref="L25" si="24">SUM(L21:L24)</f>
        <v>0</v>
      </c>
      <c r="M25" s="126">
        <f t="shared" ref="M25:N25" si="25">SUM(M21:M24)</f>
        <v>0</v>
      </c>
      <c r="N25" s="152">
        <f t="shared" si="25"/>
        <v>0</v>
      </c>
      <c r="O25" s="629">
        <f t="shared" ref="O25" si="26">SUM(O21:O24)</f>
        <v>0</v>
      </c>
      <c r="P25" s="68"/>
      <c r="Q25" s="68"/>
    </row>
    <row r="26" spans="1:83" ht="21" customHeight="1" x14ac:dyDescent="0.2">
      <c r="A26" s="929" t="s">
        <v>278</v>
      </c>
      <c r="B26" s="929"/>
      <c r="C26" s="929"/>
      <c r="D26" s="929"/>
      <c r="E26" s="929"/>
      <c r="F26" s="929"/>
      <c r="G26" s="929"/>
      <c r="H26" s="929"/>
      <c r="I26" s="929"/>
      <c r="J26" s="929"/>
      <c r="K26" s="750"/>
      <c r="L26" s="750"/>
      <c r="N26" s="68"/>
      <c r="O26" s="632"/>
    </row>
    <row r="27" spans="1:83" ht="33.75" customHeight="1" thickBot="1" x14ac:dyDescent="0.25">
      <c r="A27" s="944" t="s">
        <v>204</v>
      </c>
      <c r="B27" s="944"/>
      <c r="C27" s="944"/>
      <c r="D27" s="944"/>
      <c r="E27" s="944"/>
      <c r="F27" s="944"/>
      <c r="G27" s="944"/>
      <c r="H27" s="944"/>
      <c r="I27" s="944"/>
      <c r="J27" s="944"/>
      <c r="K27" s="752"/>
      <c r="L27" s="752"/>
      <c r="N27" s="68"/>
      <c r="O27" s="632"/>
    </row>
    <row r="28" spans="1:83" ht="44.25" customHeight="1" x14ac:dyDescent="0.2">
      <c r="A28" s="151" t="s">
        <v>201</v>
      </c>
      <c r="B28" s="101" t="s">
        <v>183</v>
      </c>
      <c r="C28" s="101">
        <v>12</v>
      </c>
      <c r="D28" s="101">
        <f t="shared" ref="D28:F30" si="27">D34+D39</f>
        <v>8354.32</v>
      </c>
      <c r="E28" s="101"/>
      <c r="F28" s="234">
        <f t="shared" si="27"/>
        <v>4310832</v>
      </c>
      <c r="G28" s="101">
        <f>IF(G$6=0,0,D28)</f>
        <v>8354.32</v>
      </c>
      <c r="H28" s="101">
        <f>IF(H$6=0,0,D28)</f>
        <v>8354.32</v>
      </c>
      <c r="I28" s="101">
        <f>IF(I$6=0,0,D28)</f>
        <v>8354.32</v>
      </c>
      <c r="J28" s="101">
        <f t="shared" ref="J28:K31" si="28">IF(J$6=0,0,D28)</f>
        <v>8354.32</v>
      </c>
      <c r="K28" s="101">
        <f t="shared" si="28"/>
        <v>0</v>
      </c>
      <c r="L28" s="101">
        <f>IF(L$6=0,0,E28)</f>
        <v>0</v>
      </c>
      <c r="M28" s="101">
        <f>IF(M$6=0,0,E28)</f>
        <v>0</v>
      </c>
      <c r="N28" s="234">
        <f>N34+N39</f>
        <v>0</v>
      </c>
      <c r="O28" s="633" t="e">
        <f>ROUND(N28/O6,5)</f>
        <v>#DIV/0!</v>
      </c>
    </row>
    <row r="29" spans="1:83" ht="48" hidden="1" customHeight="1" x14ac:dyDescent="0.2">
      <c r="A29" s="149" t="s">
        <v>201</v>
      </c>
      <c r="B29" s="96" t="s">
        <v>183</v>
      </c>
      <c r="C29" s="96">
        <v>4</v>
      </c>
      <c r="D29" s="96">
        <f t="shared" si="27"/>
        <v>0</v>
      </c>
      <c r="E29" s="96"/>
      <c r="F29" s="210">
        <f t="shared" si="27"/>
        <v>0</v>
      </c>
      <c r="G29" s="96">
        <f>IF(G$6=0,0,D29)</f>
        <v>0</v>
      </c>
      <c r="H29" s="96">
        <f>IF(H$6=0,0,D29)</f>
        <v>0</v>
      </c>
      <c r="I29" s="96">
        <f>IF(I$6=0,0,D29)</f>
        <v>0</v>
      </c>
      <c r="J29" s="96">
        <f t="shared" si="28"/>
        <v>0</v>
      </c>
      <c r="K29" s="236">
        <f t="shared" si="28"/>
        <v>0</v>
      </c>
      <c r="L29" s="236">
        <f>IF(L$6=0,0,E29)</f>
        <v>0</v>
      </c>
      <c r="M29" s="236">
        <f>IF(M$6=0,0,E29)</f>
        <v>0</v>
      </c>
      <c r="N29" s="210">
        <f t="shared" ref="N29:O29" si="29">N35+N40</f>
        <v>0</v>
      </c>
      <c r="O29" s="634" t="e">
        <f t="shared" si="29"/>
        <v>#DIV/0!</v>
      </c>
    </row>
    <row r="30" spans="1:83" ht="56.25" customHeight="1" x14ac:dyDescent="0.2">
      <c r="A30" s="149" t="s">
        <v>200</v>
      </c>
      <c r="B30" s="96" t="s">
        <v>183</v>
      </c>
      <c r="C30" s="96">
        <v>12</v>
      </c>
      <c r="D30" s="96">
        <f t="shared" si="27"/>
        <v>2523.0099999999998</v>
      </c>
      <c r="E30" s="96"/>
      <c r="F30" s="235">
        <f>F36+F41</f>
        <v>1301870</v>
      </c>
      <c r="G30" s="96">
        <f>IF(G$6=0,0,D30)</f>
        <v>2523.0099999999998</v>
      </c>
      <c r="H30" s="96">
        <f>IF(H$6=0,0,D30)</f>
        <v>2523.0099999999998</v>
      </c>
      <c r="I30" s="96">
        <f>IF(I$6=0,0,D30)</f>
        <v>2523.0099999999998</v>
      </c>
      <c r="J30" s="96">
        <f t="shared" si="28"/>
        <v>2523.0099999999998</v>
      </c>
      <c r="K30" s="236">
        <f t="shared" si="28"/>
        <v>0</v>
      </c>
      <c r="L30" s="236">
        <f>IF(L$6=0,0,E30)</f>
        <v>0</v>
      </c>
      <c r="M30" s="236">
        <f>IF(M$6=0,0,E30)</f>
        <v>0</v>
      </c>
      <c r="N30" s="235">
        <f>'прил.1+2 фок'!G50+'прил.1+2 фок'!G99</f>
        <v>0</v>
      </c>
      <c r="O30" s="635" t="e">
        <f>ROUND(N30/O6,5)</f>
        <v>#DIV/0!</v>
      </c>
    </row>
    <row r="31" spans="1:83" ht="26.25" customHeight="1" x14ac:dyDescent="0.2">
      <c r="A31" s="149" t="s">
        <v>199</v>
      </c>
      <c r="B31" s="96" t="s">
        <v>183</v>
      </c>
      <c r="C31" s="96">
        <v>12</v>
      </c>
      <c r="D31" s="96">
        <f>D42</f>
        <v>1.1599999999999999</v>
      </c>
      <c r="E31" s="96"/>
      <c r="F31" s="95">
        <f>F42</f>
        <v>600</v>
      </c>
      <c r="G31" s="96">
        <f>IF(G$6=0,0,D31)</f>
        <v>1.1599999999999999</v>
      </c>
      <c r="H31" s="96">
        <f>IF(H$6=0,0,D31)</f>
        <v>1.1599999999999999</v>
      </c>
      <c r="I31" s="96">
        <f>IF(I$6=0,0,D31)</f>
        <v>1.1599999999999999</v>
      </c>
      <c r="J31" s="96">
        <f t="shared" si="28"/>
        <v>1.1599999999999999</v>
      </c>
      <c r="K31" s="236">
        <f t="shared" si="28"/>
        <v>0</v>
      </c>
      <c r="L31" s="236">
        <f>IF(L$6=0,0,E31)</f>
        <v>0</v>
      </c>
      <c r="M31" s="236">
        <f>IF(M$6=0,0,E31)</f>
        <v>0</v>
      </c>
      <c r="N31" s="95">
        <f>N42</f>
        <v>0</v>
      </c>
      <c r="O31" s="634" t="e">
        <f>ROUND(N31/O6,5)</f>
        <v>#DIV/0!</v>
      </c>
    </row>
    <row r="32" spans="1:83" s="115" customFormat="1" ht="25.5" customHeight="1" thickBot="1" x14ac:dyDescent="0.25">
      <c r="A32" s="148" t="s">
        <v>106</v>
      </c>
      <c r="B32" s="146"/>
      <c r="C32" s="146"/>
      <c r="D32" s="152">
        <f>SUM(D28:D31)</f>
        <v>10878.49</v>
      </c>
      <c r="E32" s="146"/>
      <c r="F32" s="126">
        <f t="shared" ref="F32:M32" si="30">SUM(F28:F31)</f>
        <v>5613302</v>
      </c>
      <c r="G32" s="152">
        <f t="shared" si="30"/>
        <v>10878.49</v>
      </c>
      <c r="H32" s="152">
        <f t="shared" si="30"/>
        <v>10878.49</v>
      </c>
      <c r="I32" s="152">
        <f t="shared" si="30"/>
        <v>10878.49</v>
      </c>
      <c r="J32" s="152">
        <f t="shared" si="30"/>
        <v>10878.49</v>
      </c>
      <c r="K32" s="152">
        <f t="shared" ref="K32" si="31">SUM(K28:K31)</f>
        <v>0</v>
      </c>
      <c r="L32" s="152">
        <f t="shared" ref="L32" si="32">SUM(L28:L31)</f>
        <v>0</v>
      </c>
      <c r="M32" s="152">
        <f t="shared" si="30"/>
        <v>0</v>
      </c>
      <c r="N32" s="126">
        <f t="shared" ref="N32:O32" si="33">SUM(N28:N31)</f>
        <v>0</v>
      </c>
      <c r="O32" s="636" t="e">
        <f t="shared" si="33"/>
        <v>#DIV/0!</v>
      </c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</row>
    <row r="33" spans="1:83" ht="48" customHeight="1" thickBot="1" x14ac:dyDescent="0.25">
      <c r="A33" s="945" t="s">
        <v>203</v>
      </c>
      <c r="B33" s="945"/>
      <c r="C33" s="945"/>
      <c r="D33" s="945"/>
      <c r="E33" s="945"/>
      <c r="F33" s="945"/>
      <c r="G33" s="945"/>
      <c r="H33" s="945"/>
      <c r="I33" s="945"/>
      <c r="J33" s="945"/>
      <c r="K33" s="752"/>
      <c r="L33" s="752"/>
      <c r="M33" s="68">
        <f>M34+M36+G23+G24</f>
        <v>1498.3100000000002</v>
      </c>
      <c r="N33" s="68">
        <f>N34+N36+H23+H24</f>
        <v>1498.3100000000002</v>
      </c>
      <c r="O33" s="632">
        <f>O34+O36+I23+I24</f>
        <v>1498.3100000000002</v>
      </c>
      <c r="P33" s="68">
        <f>M33-('проверка 2020'!I19+'проверка 2020'!J19)</f>
        <v>-68594.77</v>
      </c>
      <c r="Q33" s="68">
        <f>N33-('проверка 2020'!K19+'проверка 2020'!L19)</f>
        <v>-68594.77</v>
      </c>
      <c r="R33" s="68">
        <f>O33-('проверка 2020'!M19+'проверка 2020'!N19)</f>
        <v>-68554.37</v>
      </c>
    </row>
    <row r="34" spans="1:83" ht="45.75" customHeight="1" x14ac:dyDescent="0.2">
      <c r="A34" s="151" t="s">
        <v>201</v>
      </c>
      <c r="B34" s="101" t="s">
        <v>183</v>
      </c>
      <c r="C34" s="101">
        <v>12</v>
      </c>
      <c r="D34" s="101">
        <f>ROUND(F34/F6,2)</f>
        <v>6718.93</v>
      </c>
      <c r="E34" s="101">
        <v>1</v>
      </c>
      <c r="F34" s="101">
        <f>'пр.1+2 '!F90</f>
        <v>3466970</v>
      </c>
      <c r="G34" s="101">
        <f>IF(G$6=0,0,D34)</f>
        <v>6718.93</v>
      </c>
      <c r="H34" s="101">
        <f>IF(H$6=0,0,D34)</f>
        <v>6718.93</v>
      </c>
      <c r="I34" s="101">
        <f>IF(I$6=0,0,D34)</f>
        <v>6718.93</v>
      </c>
      <c r="J34" s="143">
        <f t="shared" ref="J34:K36" si="34">IF(J$6=0,0,D34)</f>
        <v>6718.93</v>
      </c>
      <c r="K34" s="143">
        <f t="shared" si="34"/>
        <v>1</v>
      </c>
      <c r="L34" s="143">
        <f>IF(L$6=0,0,E34)</f>
        <v>0</v>
      </c>
      <c r="M34" s="143"/>
      <c r="N34" s="101"/>
      <c r="O34" s="627"/>
    </row>
    <row r="35" spans="1:83" ht="48" hidden="1" customHeight="1" x14ac:dyDescent="0.2">
      <c r="A35" s="149" t="s">
        <v>201</v>
      </c>
      <c r="B35" s="236" t="s">
        <v>183</v>
      </c>
      <c r="C35" s="236"/>
      <c r="D35" s="236"/>
      <c r="E35" s="236"/>
      <c r="F35" s="236"/>
      <c r="G35" s="236">
        <f>IF(G$6=0,0,D35)</f>
        <v>0</v>
      </c>
      <c r="H35" s="236">
        <f>IF(H$6=0,0,D35)</f>
        <v>0</v>
      </c>
      <c r="I35" s="236">
        <f>IF(I$6=0,0,D35)</f>
        <v>0</v>
      </c>
      <c r="J35" s="210">
        <f t="shared" si="34"/>
        <v>0</v>
      </c>
      <c r="K35" s="210">
        <f t="shared" si="34"/>
        <v>0</v>
      </c>
      <c r="L35" s="210">
        <f>IF(L$6=0,0,E35)</f>
        <v>0</v>
      </c>
      <c r="M35" s="210">
        <f>IF(M$6=0,0,E35)</f>
        <v>0</v>
      </c>
      <c r="N35" s="236"/>
      <c r="O35" s="631"/>
    </row>
    <row r="36" spans="1:83" s="68" customFormat="1" ht="57" customHeight="1" x14ac:dyDescent="0.2">
      <c r="A36" s="663" t="s">
        <v>200</v>
      </c>
      <c r="B36" s="664" t="s">
        <v>183</v>
      </c>
      <c r="C36" s="664">
        <v>12</v>
      </c>
      <c r="D36" s="664">
        <f>ROUND(F36/F6,2)</f>
        <v>2029.12</v>
      </c>
      <c r="E36" s="664">
        <v>1</v>
      </c>
      <c r="F36" s="612">
        <f>'пр.1+2 '!G90+'пр.1+2 '!D96+'пр.1+2 '!D97</f>
        <v>1047024</v>
      </c>
      <c r="G36" s="664">
        <f>IF(G$6=0,0,D36)</f>
        <v>2029.12</v>
      </c>
      <c r="H36" s="664">
        <f>IF(H$6=0,0,D36)</f>
        <v>2029.12</v>
      </c>
      <c r="I36" s="664">
        <f>IF(I$6=0,0,D36)</f>
        <v>2029.12</v>
      </c>
      <c r="J36" s="665">
        <f t="shared" si="34"/>
        <v>2029.12</v>
      </c>
      <c r="K36" s="665">
        <f t="shared" si="34"/>
        <v>1</v>
      </c>
      <c r="L36" s="665">
        <f>IF(L$6=0,0,E36)</f>
        <v>0</v>
      </c>
      <c r="M36" s="665"/>
      <c r="N36" s="612"/>
      <c r="O36" s="666"/>
    </row>
    <row r="37" spans="1:83" s="115" customFormat="1" ht="26.25" customHeight="1" thickBot="1" x14ac:dyDescent="0.25">
      <c r="A37" s="148" t="s">
        <v>106</v>
      </c>
      <c r="B37" s="146"/>
      <c r="C37" s="146"/>
      <c r="D37" s="152">
        <f>SUM(D34:D36)</f>
        <v>8748.0499999999993</v>
      </c>
      <c r="E37" s="146"/>
      <c r="F37" s="152">
        <f t="shared" ref="F37:M37" si="35">SUM(F34:F36)</f>
        <v>4513994</v>
      </c>
      <c r="G37" s="152">
        <f t="shared" si="35"/>
        <v>8748.0499999999993</v>
      </c>
      <c r="H37" s="152">
        <f t="shared" si="35"/>
        <v>8748.0499999999993</v>
      </c>
      <c r="I37" s="152">
        <f t="shared" si="35"/>
        <v>8748.0499999999993</v>
      </c>
      <c r="J37" s="126">
        <f t="shared" si="35"/>
        <v>8748.0499999999993</v>
      </c>
      <c r="K37" s="126">
        <f t="shared" ref="K37" si="36">SUM(K34:K36)</f>
        <v>2</v>
      </c>
      <c r="L37" s="126">
        <f t="shared" ref="L37" si="37">SUM(L34:L36)</f>
        <v>0</v>
      </c>
      <c r="M37" s="126">
        <f t="shared" si="35"/>
        <v>0</v>
      </c>
      <c r="N37" s="152">
        <f t="shared" ref="N37:O37" si="38">SUM(N34:N36)</f>
        <v>0</v>
      </c>
      <c r="O37" s="629">
        <f t="shared" si="38"/>
        <v>0</v>
      </c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</row>
    <row r="38" spans="1:83" ht="48" customHeight="1" thickBot="1" x14ac:dyDescent="0.25">
      <c r="A38" s="944" t="s">
        <v>202</v>
      </c>
      <c r="B38" s="944"/>
      <c r="C38" s="944"/>
      <c r="D38" s="944"/>
      <c r="E38" s="944"/>
      <c r="F38" s="944"/>
      <c r="G38" s="944"/>
      <c r="H38" s="944"/>
      <c r="I38" s="944"/>
      <c r="J38" s="944"/>
      <c r="K38" s="752"/>
      <c r="L38" s="752"/>
      <c r="N38" s="68"/>
      <c r="O38" s="632"/>
    </row>
    <row r="39" spans="1:83" ht="34.5" customHeight="1" x14ac:dyDescent="0.2">
      <c r="A39" s="151" t="s">
        <v>201</v>
      </c>
      <c r="B39" s="101" t="s">
        <v>183</v>
      </c>
      <c r="C39" s="101">
        <v>9</v>
      </c>
      <c r="D39" s="101">
        <f>ROUND(F39/F6,2)</f>
        <v>1635.39</v>
      </c>
      <c r="E39" s="101">
        <v>1</v>
      </c>
      <c r="F39" s="100">
        <f>'пр.1+2 '!F72</f>
        <v>843862</v>
      </c>
      <c r="G39" s="101">
        <f>IF(G$6=0,0,D39)</f>
        <v>1635.39</v>
      </c>
      <c r="H39" s="101">
        <f>IF(H$6=0,0,D39)</f>
        <v>1635.39</v>
      </c>
      <c r="I39" s="101">
        <f>IF(I$6=0,0,D39)</f>
        <v>1635.39</v>
      </c>
      <c r="J39" s="101">
        <f t="shared" ref="J39:K42" si="39">IF(J$6=0,0,D39)</f>
        <v>1635.39</v>
      </c>
      <c r="K39" s="101">
        <f t="shared" si="39"/>
        <v>1</v>
      </c>
      <c r="L39" s="101">
        <f>IF(L$6=0,0,E39)</f>
        <v>0</v>
      </c>
      <c r="M39" s="101"/>
      <c r="N39" s="100">
        <f>'прил.1+2 фок'!F50+'прил.1+2 фок'!F99</f>
        <v>0</v>
      </c>
      <c r="O39" s="633" t="e">
        <f>ROUND(N39/O6,5)</f>
        <v>#DIV/0!</v>
      </c>
    </row>
    <row r="40" spans="1:83" ht="48" hidden="1" customHeight="1" x14ac:dyDescent="0.2">
      <c r="A40" s="150" t="s">
        <v>201</v>
      </c>
      <c r="B40" s="96" t="s">
        <v>183</v>
      </c>
      <c r="C40" s="147">
        <v>4</v>
      </c>
      <c r="D40" s="132"/>
      <c r="E40" s="96"/>
      <c r="F40" s="95"/>
      <c r="G40" s="132">
        <f>IF(G$6=0,0,D40)</f>
        <v>0</v>
      </c>
      <c r="H40" s="132">
        <f>IF(H$6=0,0,D40)</f>
        <v>0</v>
      </c>
      <c r="I40" s="132">
        <f>IF(I$6=0,0,D40)</f>
        <v>0</v>
      </c>
      <c r="J40" s="132">
        <f t="shared" si="39"/>
        <v>0</v>
      </c>
      <c r="K40" s="132">
        <f t="shared" si="39"/>
        <v>0</v>
      </c>
      <c r="L40" s="132">
        <f>IF(L$6=0,0,E40)</f>
        <v>0</v>
      </c>
      <c r="M40" s="132">
        <f>IF(M$6=0,0,E40)</f>
        <v>0</v>
      </c>
      <c r="N40" s="95"/>
      <c r="O40" s="634" t="e">
        <f t="shared" ref="O40" si="40">O46+O51</f>
        <v>#DIV/0!</v>
      </c>
    </row>
    <row r="41" spans="1:83" ht="48" customHeight="1" x14ac:dyDescent="0.2">
      <c r="A41" s="150" t="s">
        <v>200</v>
      </c>
      <c r="B41" s="96" t="s">
        <v>183</v>
      </c>
      <c r="C41" s="147">
        <v>3</v>
      </c>
      <c r="D41" s="132">
        <f>ROUND(F41/F6,2)</f>
        <v>493.89</v>
      </c>
      <c r="E41" s="96">
        <v>1</v>
      </c>
      <c r="F41" s="313">
        <f>'пр.1+2 '!G72+'пр.1+2 '!D79+'пр.1+2 '!D80</f>
        <v>254846</v>
      </c>
      <c r="G41" s="132">
        <f>IF(G$6=0,0,D41)</f>
        <v>493.89</v>
      </c>
      <c r="H41" s="132">
        <f>IF(H$6=0,0,D41)</f>
        <v>493.89</v>
      </c>
      <c r="I41" s="132">
        <f>IF(I$6=0,0,D41)</f>
        <v>493.89</v>
      </c>
      <c r="J41" s="132">
        <f t="shared" si="39"/>
        <v>493.89</v>
      </c>
      <c r="K41" s="132">
        <f t="shared" si="39"/>
        <v>1</v>
      </c>
      <c r="L41" s="132">
        <f>IF(L$6=0,0,E41)</f>
        <v>0</v>
      </c>
      <c r="M41" s="132"/>
      <c r="N41" s="313">
        <f>'прил.1+2 фок'!G50+'прил.1+2 фок'!D60+'прил.1+2 фок'!D59+'прил.1+2 фок'!G99</f>
        <v>0</v>
      </c>
      <c r="O41" s="635" t="e">
        <f>ROUND(N41/O6,5)</f>
        <v>#DIV/0!</v>
      </c>
    </row>
    <row r="42" spans="1:83" ht="26.25" customHeight="1" x14ac:dyDescent="0.2">
      <c r="A42" s="149" t="s">
        <v>199</v>
      </c>
      <c r="B42" s="96" t="s">
        <v>183</v>
      </c>
      <c r="C42" s="147">
        <v>12</v>
      </c>
      <c r="D42" s="132">
        <f>ROUND(F42/F6,2)</f>
        <v>1.1599999999999999</v>
      </c>
      <c r="E42" s="96">
        <v>1</v>
      </c>
      <c r="F42" s="95">
        <f>'пр.1+2 '!D75</f>
        <v>600</v>
      </c>
      <c r="G42" s="132">
        <f>IF(G$6=0,0,D42)</f>
        <v>1.1599999999999999</v>
      </c>
      <c r="H42" s="132">
        <f>IF(H$6=0,0,D42)</f>
        <v>1.1599999999999999</v>
      </c>
      <c r="I42" s="132">
        <f>IF(I$6=0,0,D42)</f>
        <v>1.1599999999999999</v>
      </c>
      <c r="J42" s="132">
        <f t="shared" si="39"/>
        <v>1.1599999999999999</v>
      </c>
      <c r="K42" s="132">
        <f t="shared" si="39"/>
        <v>1</v>
      </c>
      <c r="L42" s="132">
        <f>IF(L$6=0,0,E42)</f>
        <v>0</v>
      </c>
      <c r="M42" s="132"/>
      <c r="N42" s="95">
        <f>'прил.1+2 фок'!D68</f>
        <v>0</v>
      </c>
      <c r="O42" s="634" t="e">
        <f>N42/O6</f>
        <v>#DIV/0!</v>
      </c>
    </row>
    <row r="43" spans="1:83" s="115" customFormat="1" ht="20.25" customHeight="1" thickBot="1" x14ac:dyDescent="0.25">
      <c r="A43" s="148" t="s">
        <v>106</v>
      </c>
      <c r="B43" s="146"/>
      <c r="C43" s="146"/>
      <c r="D43" s="126">
        <f>SUM(D39:D42)</f>
        <v>2130.44</v>
      </c>
      <c r="E43" s="146"/>
      <c r="F43" s="126">
        <f t="shared" ref="F43:M43" si="41">SUM(F39:F42)</f>
        <v>1099308</v>
      </c>
      <c r="G43" s="126">
        <f t="shared" si="41"/>
        <v>2130.44</v>
      </c>
      <c r="H43" s="126">
        <f t="shared" si="41"/>
        <v>2130.44</v>
      </c>
      <c r="I43" s="126">
        <f t="shared" si="41"/>
        <v>2130.44</v>
      </c>
      <c r="J43" s="126">
        <f t="shared" si="41"/>
        <v>2130.44</v>
      </c>
      <c r="K43" s="126">
        <f t="shared" ref="K43" si="42">SUM(K39:K42)</f>
        <v>3</v>
      </c>
      <c r="L43" s="126">
        <f t="shared" ref="L43" si="43">SUM(L39:L42)</f>
        <v>0</v>
      </c>
      <c r="M43" s="126">
        <f t="shared" si="41"/>
        <v>0</v>
      </c>
      <c r="N43" s="126">
        <f t="shared" ref="N43:O43" si="44">SUM(N39:N42)</f>
        <v>0</v>
      </c>
      <c r="O43" s="636" t="e">
        <f t="shared" si="44"/>
        <v>#DIV/0!</v>
      </c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</row>
    <row r="44" spans="1:83" ht="21.75" customHeight="1" thickBot="1" x14ac:dyDescent="0.25">
      <c r="A44" s="939" t="s">
        <v>198</v>
      </c>
      <c r="B44" s="940"/>
      <c r="C44" s="940"/>
      <c r="D44" s="940"/>
      <c r="E44" s="940"/>
      <c r="F44" s="940"/>
      <c r="G44" s="940"/>
      <c r="H44" s="940"/>
      <c r="I44" s="940"/>
      <c r="J44" s="940"/>
      <c r="K44" s="749"/>
      <c r="L44" s="749"/>
      <c r="N44" s="68"/>
      <c r="O44" s="632"/>
    </row>
    <row r="45" spans="1:83" x14ac:dyDescent="0.2">
      <c r="A45" s="692" t="s">
        <v>507</v>
      </c>
      <c r="B45" s="101" t="s">
        <v>183</v>
      </c>
      <c r="C45" s="101">
        <v>12</v>
      </c>
      <c r="D45" s="101">
        <f>ROUND(F45/F6,2)</f>
        <v>157.19999999999999</v>
      </c>
      <c r="E45" s="101"/>
      <c r="F45" s="329">
        <f>пр.3!F6</f>
        <v>81117</v>
      </c>
      <c r="G45" s="101">
        <f t="shared" ref="G45:G62" si="45">IF(G$6=0,0,D45)</f>
        <v>157.19999999999999</v>
      </c>
      <c r="H45" s="101">
        <f t="shared" ref="H45:H62" si="46">IF(H$6=0,0,D45)</f>
        <v>157.19999999999999</v>
      </c>
      <c r="I45" s="101">
        <f t="shared" ref="I45:I62" si="47">IF(I$6=0,0,D45)</f>
        <v>157.19999999999999</v>
      </c>
      <c r="J45" s="101">
        <f t="shared" ref="J45:K62" si="48">IF(J$6=0,0,D45)</f>
        <v>157.19999999999999</v>
      </c>
      <c r="K45" s="101">
        <f t="shared" si="48"/>
        <v>0</v>
      </c>
      <c r="L45" s="101">
        <f t="shared" ref="L45:L62" si="49">IF(L$6=0,0,E45)</f>
        <v>0</v>
      </c>
      <c r="M45" s="101">
        <f t="shared" ref="M45:M62" si="50">IF(M$6=0,0,E45)</f>
        <v>0</v>
      </c>
      <c r="N45" s="329">
        <f>'прил.3 фок'!F6</f>
        <v>0</v>
      </c>
      <c r="O45" s="635" t="e">
        <f>ROUND(N45/$O$6,5)</f>
        <v>#DIV/0!</v>
      </c>
    </row>
    <row r="46" spans="1:83" ht="14.25" customHeight="1" x14ac:dyDescent="0.2">
      <c r="A46" s="22" t="s">
        <v>196</v>
      </c>
      <c r="B46" s="96" t="s">
        <v>183</v>
      </c>
      <c r="C46" s="96">
        <v>12</v>
      </c>
      <c r="D46" s="132">
        <f>ROUND(F46/F6,2)</f>
        <v>6.07</v>
      </c>
      <c r="E46" s="96"/>
      <c r="F46" s="330">
        <f>пр.3!F9</f>
        <v>3134.4</v>
      </c>
      <c r="G46" s="132">
        <f t="shared" si="45"/>
        <v>6.07</v>
      </c>
      <c r="H46" s="132">
        <f t="shared" si="46"/>
        <v>6.07</v>
      </c>
      <c r="I46" s="132">
        <f t="shared" si="47"/>
        <v>6.07</v>
      </c>
      <c r="J46" s="132">
        <f t="shared" si="48"/>
        <v>6.07</v>
      </c>
      <c r="K46" s="132">
        <f t="shared" si="48"/>
        <v>0</v>
      </c>
      <c r="L46" s="132">
        <f t="shared" si="49"/>
        <v>0</v>
      </c>
      <c r="M46" s="132">
        <f t="shared" si="50"/>
        <v>0</v>
      </c>
      <c r="N46" s="330">
        <f>'прил.3 фок'!F7</f>
        <v>0</v>
      </c>
      <c r="O46" s="635" t="e">
        <f t="shared" ref="O46:O62" si="51">ROUND(N46/$O$6,5)</f>
        <v>#DIV/0!</v>
      </c>
    </row>
    <row r="47" spans="1:83" x14ac:dyDescent="0.2">
      <c r="A47" s="22" t="s">
        <v>195</v>
      </c>
      <c r="B47" s="96" t="s">
        <v>183</v>
      </c>
      <c r="C47" s="96">
        <v>12</v>
      </c>
      <c r="D47" s="132">
        <f>ROUND(F47/F6,2)</f>
        <v>15.4</v>
      </c>
      <c r="E47" s="96"/>
      <c r="F47" s="330">
        <f>пр.3!F10</f>
        <v>7944</v>
      </c>
      <c r="G47" s="132">
        <f t="shared" si="45"/>
        <v>15.4</v>
      </c>
      <c r="H47" s="132">
        <f t="shared" si="46"/>
        <v>15.4</v>
      </c>
      <c r="I47" s="132">
        <f t="shared" si="47"/>
        <v>15.4</v>
      </c>
      <c r="J47" s="132">
        <f t="shared" si="48"/>
        <v>15.4</v>
      </c>
      <c r="K47" s="132">
        <f t="shared" si="48"/>
        <v>0</v>
      </c>
      <c r="L47" s="132">
        <f t="shared" si="49"/>
        <v>0</v>
      </c>
      <c r="M47" s="132">
        <f t="shared" si="50"/>
        <v>0</v>
      </c>
      <c r="N47" s="330">
        <f>'прил.3 фок'!F8</f>
        <v>0</v>
      </c>
      <c r="O47" s="635" t="e">
        <f t="shared" si="51"/>
        <v>#DIV/0!</v>
      </c>
    </row>
    <row r="48" spans="1:83" x14ac:dyDescent="0.2">
      <c r="A48" s="22" t="s">
        <v>195</v>
      </c>
      <c r="B48" s="96" t="s">
        <v>183</v>
      </c>
      <c r="C48" s="96">
        <v>12</v>
      </c>
      <c r="D48" s="132">
        <f>ROUND(F48/F6,2)</f>
        <v>50.39</v>
      </c>
      <c r="E48" s="96"/>
      <c r="F48" s="330">
        <f>пр.3!F11</f>
        <v>26000</v>
      </c>
      <c r="G48" s="132">
        <f t="shared" si="45"/>
        <v>50.39</v>
      </c>
      <c r="H48" s="132">
        <f t="shared" si="46"/>
        <v>50.39</v>
      </c>
      <c r="I48" s="132">
        <f t="shared" si="47"/>
        <v>50.39</v>
      </c>
      <c r="J48" s="132">
        <f t="shared" si="48"/>
        <v>50.39</v>
      </c>
      <c r="K48" s="132">
        <f t="shared" si="48"/>
        <v>0</v>
      </c>
      <c r="L48" s="132">
        <f t="shared" si="49"/>
        <v>0</v>
      </c>
      <c r="M48" s="132">
        <f t="shared" si="50"/>
        <v>0</v>
      </c>
      <c r="N48" s="330"/>
      <c r="O48" s="635" t="e">
        <f t="shared" si="51"/>
        <v>#DIV/0!</v>
      </c>
    </row>
    <row r="49" spans="1:83" ht="25.5" x14ac:dyDescent="0.2">
      <c r="A49" s="22" t="s">
        <v>268</v>
      </c>
      <c r="B49" s="96" t="s">
        <v>183</v>
      </c>
      <c r="C49" s="96">
        <v>12</v>
      </c>
      <c r="D49" s="132">
        <f>ROUND(F49/F6,2)</f>
        <v>38.33</v>
      </c>
      <c r="E49" s="96"/>
      <c r="F49" s="330">
        <f>пр.3!F13</f>
        <v>19776</v>
      </c>
      <c r="G49" s="132">
        <f t="shared" si="45"/>
        <v>38.33</v>
      </c>
      <c r="H49" s="132">
        <f t="shared" si="46"/>
        <v>38.33</v>
      </c>
      <c r="I49" s="132">
        <f t="shared" si="47"/>
        <v>38.33</v>
      </c>
      <c r="J49" s="132">
        <f t="shared" si="48"/>
        <v>38.33</v>
      </c>
      <c r="K49" s="132">
        <f t="shared" si="48"/>
        <v>0</v>
      </c>
      <c r="L49" s="132">
        <f t="shared" si="49"/>
        <v>0</v>
      </c>
      <c r="M49" s="132">
        <f t="shared" si="50"/>
        <v>0</v>
      </c>
      <c r="N49" s="330">
        <f>'прил.3 фок'!F9</f>
        <v>0</v>
      </c>
      <c r="O49" s="635" t="e">
        <f t="shared" si="51"/>
        <v>#DIV/0!</v>
      </c>
    </row>
    <row r="50" spans="1:83" x14ac:dyDescent="0.2">
      <c r="A50" s="699" t="s">
        <v>144</v>
      </c>
      <c r="B50" s="96" t="s">
        <v>183</v>
      </c>
      <c r="C50" s="96">
        <v>1</v>
      </c>
      <c r="D50" s="132">
        <f>ROUND(F50/F6,2)</f>
        <v>0</v>
      </c>
      <c r="E50" s="96"/>
      <c r="F50" s="330">
        <f>пр.3!F16</f>
        <v>0</v>
      </c>
      <c r="G50" s="132">
        <f t="shared" si="45"/>
        <v>0</v>
      </c>
      <c r="H50" s="132">
        <f t="shared" si="46"/>
        <v>0</v>
      </c>
      <c r="I50" s="132">
        <f t="shared" si="47"/>
        <v>0</v>
      </c>
      <c r="J50" s="132">
        <f t="shared" si="48"/>
        <v>0</v>
      </c>
      <c r="K50" s="132">
        <f t="shared" si="48"/>
        <v>0</v>
      </c>
      <c r="L50" s="132">
        <f t="shared" si="49"/>
        <v>0</v>
      </c>
      <c r="M50" s="132">
        <f t="shared" si="50"/>
        <v>0</v>
      </c>
      <c r="N50" s="330">
        <f>'прил.3 фок'!F10</f>
        <v>0</v>
      </c>
      <c r="O50" s="635" t="e">
        <f t="shared" si="51"/>
        <v>#DIV/0!</v>
      </c>
    </row>
    <row r="51" spans="1:83" ht="25.5" x14ac:dyDescent="0.2">
      <c r="A51" s="699" t="s">
        <v>508</v>
      </c>
      <c r="B51" s="96" t="s">
        <v>183</v>
      </c>
      <c r="C51" s="96">
        <v>1</v>
      </c>
      <c r="D51" s="132">
        <f>ROUND(F51/F6,2)</f>
        <v>0</v>
      </c>
      <c r="E51" s="96"/>
      <c r="F51" s="330">
        <f>пр.3!F8</f>
        <v>0</v>
      </c>
      <c r="G51" s="132">
        <f t="shared" si="45"/>
        <v>0</v>
      </c>
      <c r="H51" s="132">
        <f t="shared" si="46"/>
        <v>0</v>
      </c>
      <c r="I51" s="132">
        <f t="shared" si="47"/>
        <v>0</v>
      </c>
      <c r="J51" s="132">
        <f t="shared" si="48"/>
        <v>0</v>
      </c>
      <c r="K51" s="132">
        <f t="shared" si="48"/>
        <v>0</v>
      </c>
      <c r="L51" s="132">
        <f t="shared" si="49"/>
        <v>0</v>
      </c>
      <c r="M51" s="132">
        <f t="shared" si="50"/>
        <v>0</v>
      </c>
      <c r="N51" s="330"/>
      <c r="O51" s="635" t="e">
        <f t="shared" si="51"/>
        <v>#DIV/0!</v>
      </c>
    </row>
    <row r="52" spans="1:83" ht="23.25" customHeight="1" x14ac:dyDescent="0.2">
      <c r="A52" s="203" t="s">
        <v>509</v>
      </c>
      <c r="B52" s="96" t="s">
        <v>183</v>
      </c>
      <c r="C52" s="96">
        <v>12</v>
      </c>
      <c r="D52" s="132">
        <f>ROUND(F52/F6,2)</f>
        <v>0</v>
      </c>
      <c r="E52" s="96"/>
      <c r="F52" s="330">
        <f>пр.3!F12</f>
        <v>0</v>
      </c>
      <c r="G52" s="132">
        <f t="shared" si="45"/>
        <v>0</v>
      </c>
      <c r="H52" s="132">
        <f t="shared" si="46"/>
        <v>0</v>
      </c>
      <c r="I52" s="132">
        <f t="shared" si="47"/>
        <v>0</v>
      </c>
      <c r="J52" s="132">
        <f t="shared" si="48"/>
        <v>0</v>
      </c>
      <c r="K52" s="132">
        <f t="shared" si="48"/>
        <v>0</v>
      </c>
      <c r="L52" s="132">
        <f t="shared" si="49"/>
        <v>0</v>
      </c>
      <c r="M52" s="132">
        <f t="shared" si="50"/>
        <v>0</v>
      </c>
      <c r="N52" s="330"/>
      <c r="O52" s="635" t="e">
        <f t="shared" si="51"/>
        <v>#DIV/0!</v>
      </c>
    </row>
    <row r="53" spans="1:83" ht="25.5" x14ac:dyDescent="0.2">
      <c r="A53" s="22" t="str">
        <f>пр.3!A15</f>
        <v>Испытание изоляции электропроводки</v>
      </c>
      <c r="B53" s="96" t="s">
        <v>183</v>
      </c>
      <c r="C53" s="96">
        <v>1</v>
      </c>
      <c r="D53" s="132">
        <f>ROUND(F53/F6,2)</f>
        <v>0</v>
      </c>
      <c r="E53" s="96"/>
      <c r="F53" s="330">
        <f>пр.3!F15</f>
        <v>0</v>
      </c>
      <c r="G53" s="132">
        <f t="shared" si="45"/>
        <v>0</v>
      </c>
      <c r="H53" s="132">
        <f t="shared" si="46"/>
        <v>0</v>
      </c>
      <c r="I53" s="132">
        <f t="shared" si="47"/>
        <v>0</v>
      </c>
      <c r="J53" s="132">
        <f t="shared" si="48"/>
        <v>0</v>
      </c>
      <c r="K53" s="132">
        <f t="shared" si="48"/>
        <v>0</v>
      </c>
      <c r="L53" s="132">
        <f t="shared" si="49"/>
        <v>0</v>
      </c>
      <c r="M53" s="132">
        <f t="shared" si="50"/>
        <v>0</v>
      </c>
      <c r="N53" s="330"/>
      <c r="O53" s="635" t="e">
        <f t="shared" si="51"/>
        <v>#DIV/0!</v>
      </c>
    </row>
    <row r="54" spans="1:83" ht="24" customHeight="1" x14ac:dyDescent="0.2">
      <c r="A54" s="22" t="s">
        <v>141</v>
      </c>
      <c r="B54" s="96" t="s">
        <v>183</v>
      </c>
      <c r="C54" s="96">
        <v>12</v>
      </c>
      <c r="D54" s="132">
        <f>ROUND(F54/F6,2)</f>
        <v>25.58</v>
      </c>
      <c r="E54" s="96"/>
      <c r="F54" s="330">
        <f>пр.3!F22</f>
        <v>13200</v>
      </c>
      <c r="G54" s="132">
        <f t="shared" si="45"/>
        <v>25.58</v>
      </c>
      <c r="H54" s="132">
        <f t="shared" si="46"/>
        <v>25.58</v>
      </c>
      <c r="I54" s="132">
        <f t="shared" si="47"/>
        <v>25.58</v>
      </c>
      <c r="J54" s="132">
        <f t="shared" si="48"/>
        <v>25.58</v>
      </c>
      <c r="K54" s="132">
        <f t="shared" si="48"/>
        <v>0</v>
      </c>
      <c r="L54" s="132">
        <f t="shared" si="49"/>
        <v>0</v>
      </c>
      <c r="M54" s="132">
        <f t="shared" si="50"/>
        <v>0</v>
      </c>
      <c r="N54" s="330">
        <f>'прил.3 фок'!F13</f>
        <v>0</v>
      </c>
      <c r="O54" s="635" t="e">
        <f t="shared" si="51"/>
        <v>#DIV/0!</v>
      </c>
    </row>
    <row r="55" spans="1:83" ht="25.5" hidden="1" x14ac:dyDescent="0.2">
      <c r="A55" s="22" t="s">
        <v>516</v>
      </c>
      <c r="B55" s="96" t="s">
        <v>183</v>
      </c>
      <c r="C55" s="96">
        <v>12</v>
      </c>
      <c r="D55" s="132">
        <f>ROUND(F55/F6,2)</f>
        <v>0</v>
      </c>
      <c r="E55" s="96"/>
      <c r="F55" s="330"/>
      <c r="G55" s="132">
        <f t="shared" si="45"/>
        <v>0</v>
      </c>
      <c r="H55" s="132">
        <f t="shared" si="46"/>
        <v>0</v>
      </c>
      <c r="I55" s="132">
        <f t="shared" si="47"/>
        <v>0</v>
      </c>
      <c r="J55" s="132">
        <f t="shared" si="48"/>
        <v>0</v>
      </c>
      <c r="K55" s="132">
        <f t="shared" si="48"/>
        <v>0</v>
      </c>
      <c r="L55" s="132">
        <f t="shared" si="49"/>
        <v>0</v>
      </c>
      <c r="M55" s="132">
        <f t="shared" si="50"/>
        <v>0</v>
      </c>
      <c r="N55" s="330">
        <f>'прил.3 фок'!F14+'прил.3 фок'!F15</f>
        <v>0</v>
      </c>
      <c r="O55" s="635" t="e">
        <f t="shared" si="51"/>
        <v>#DIV/0!</v>
      </c>
    </row>
    <row r="56" spans="1:83" x14ac:dyDescent="0.2">
      <c r="A56" s="203" t="s">
        <v>239</v>
      </c>
      <c r="B56" s="96" t="s">
        <v>183</v>
      </c>
      <c r="C56" s="96">
        <v>12</v>
      </c>
      <c r="D56" s="132">
        <f>ROUND(F56/F6,2)</f>
        <v>37.33</v>
      </c>
      <c r="E56" s="96"/>
      <c r="F56" s="330">
        <f>пр.3!F25+пр.3!F26</f>
        <v>19263.12</v>
      </c>
      <c r="G56" s="132">
        <f t="shared" si="45"/>
        <v>37.33</v>
      </c>
      <c r="H56" s="132">
        <f t="shared" si="46"/>
        <v>37.33</v>
      </c>
      <c r="I56" s="132">
        <f t="shared" si="47"/>
        <v>37.33</v>
      </c>
      <c r="J56" s="132">
        <f t="shared" si="48"/>
        <v>37.33</v>
      </c>
      <c r="K56" s="132">
        <f t="shared" si="48"/>
        <v>0</v>
      </c>
      <c r="L56" s="132">
        <f t="shared" si="49"/>
        <v>0</v>
      </c>
      <c r="M56" s="132">
        <f t="shared" si="50"/>
        <v>0</v>
      </c>
      <c r="N56" s="330"/>
      <c r="O56" s="635" t="e">
        <f t="shared" si="51"/>
        <v>#DIV/0!</v>
      </c>
    </row>
    <row r="57" spans="1:83" x14ac:dyDescent="0.2">
      <c r="A57" s="203" t="s">
        <v>511</v>
      </c>
      <c r="B57" s="96" t="s">
        <v>183</v>
      </c>
      <c r="C57" s="96">
        <v>1</v>
      </c>
      <c r="D57" s="132">
        <f>ROUND(F57/F6,2)</f>
        <v>0</v>
      </c>
      <c r="E57" s="96"/>
      <c r="F57" s="330">
        <f>пр.3!F18</f>
        <v>0</v>
      </c>
      <c r="G57" s="132">
        <f t="shared" si="45"/>
        <v>0</v>
      </c>
      <c r="H57" s="132">
        <f t="shared" si="46"/>
        <v>0</v>
      </c>
      <c r="I57" s="132">
        <f t="shared" si="47"/>
        <v>0</v>
      </c>
      <c r="J57" s="132">
        <f t="shared" si="48"/>
        <v>0</v>
      </c>
      <c r="K57" s="132">
        <f t="shared" si="48"/>
        <v>0</v>
      </c>
      <c r="L57" s="132">
        <f t="shared" si="49"/>
        <v>0</v>
      </c>
      <c r="M57" s="132">
        <f t="shared" si="50"/>
        <v>0</v>
      </c>
      <c r="N57" s="330"/>
      <c r="O57" s="635" t="e">
        <f t="shared" si="51"/>
        <v>#DIV/0!</v>
      </c>
    </row>
    <row r="58" spans="1:83" x14ac:dyDescent="0.2">
      <c r="A58" s="203" t="s">
        <v>239</v>
      </c>
      <c r="B58" s="96" t="s">
        <v>183</v>
      </c>
      <c r="C58" s="96">
        <v>12</v>
      </c>
      <c r="D58" s="132">
        <f>ROUND(F58/F6,2)</f>
        <v>0</v>
      </c>
      <c r="E58" s="96"/>
      <c r="F58" s="330">
        <f>пр.3!F14</f>
        <v>0</v>
      </c>
      <c r="G58" s="132">
        <f t="shared" si="45"/>
        <v>0</v>
      </c>
      <c r="H58" s="132">
        <f t="shared" si="46"/>
        <v>0</v>
      </c>
      <c r="I58" s="132">
        <f t="shared" si="47"/>
        <v>0</v>
      </c>
      <c r="J58" s="132">
        <f t="shared" si="48"/>
        <v>0</v>
      </c>
      <c r="K58" s="132">
        <f t="shared" si="48"/>
        <v>0</v>
      </c>
      <c r="L58" s="132">
        <f t="shared" si="49"/>
        <v>0</v>
      </c>
      <c r="M58" s="132">
        <f t="shared" si="50"/>
        <v>0</v>
      </c>
      <c r="N58" s="330"/>
      <c r="O58" s="635" t="e">
        <f t="shared" si="51"/>
        <v>#DIV/0!</v>
      </c>
    </row>
    <row r="59" spans="1:83" x14ac:dyDescent="0.2">
      <c r="A59" s="204" t="s">
        <v>500</v>
      </c>
      <c r="B59" s="96" t="s">
        <v>183</v>
      </c>
      <c r="C59" s="96">
        <v>1</v>
      </c>
      <c r="D59" s="132">
        <f>ROUND(F59/F6,2)</f>
        <v>0</v>
      </c>
      <c r="E59" s="96"/>
      <c r="F59" s="330">
        <f>пр.3!F7</f>
        <v>0</v>
      </c>
      <c r="G59" s="132">
        <f t="shared" si="45"/>
        <v>0</v>
      </c>
      <c r="H59" s="132">
        <f t="shared" si="46"/>
        <v>0</v>
      </c>
      <c r="I59" s="132">
        <f t="shared" si="47"/>
        <v>0</v>
      </c>
      <c r="J59" s="132">
        <f t="shared" si="48"/>
        <v>0</v>
      </c>
      <c r="K59" s="132">
        <f t="shared" si="48"/>
        <v>0</v>
      </c>
      <c r="L59" s="132">
        <f t="shared" si="49"/>
        <v>0</v>
      </c>
      <c r="M59" s="132">
        <f t="shared" si="50"/>
        <v>0</v>
      </c>
      <c r="N59" s="330"/>
      <c r="O59" s="635" t="e">
        <f t="shared" si="51"/>
        <v>#DIV/0!</v>
      </c>
    </row>
    <row r="60" spans="1:83" x14ac:dyDescent="0.2">
      <c r="A60" s="203" t="s">
        <v>266</v>
      </c>
      <c r="B60" s="96" t="s">
        <v>183</v>
      </c>
      <c r="C60" s="223">
        <v>1</v>
      </c>
      <c r="D60" s="132">
        <f>ROUND(F60/F6,2)</f>
        <v>38.76</v>
      </c>
      <c r="E60" s="96"/>
      <c r="F60" s="330">
        <f>пр.3!F20</f>
        <v>20000</v>
      </c>
      <c r="G60" s="132">
        <f t="shared" si="45"/>
        <v>38.76</v>
      </c>
      <c r="H60" s="132">
        <f t="shared" si="46"/>
        <v>38.76</v>
      </c>
      <c r="I60" s="132">
        <f t="shared" si="47"/>
        <v>38.76</v>
      </c>
      <c r="J60" s="132">
        <f t="shared" si="48"/>
        <v>38.76</v>
      </c>
      <c r="K60" s="132">
        <f t="shared" si="48"/>
        <v>0</v>
      </c>
      <c r="L60" s="132">
        <f t="shared" si="49"/>
        <v>0</v>
      </c>
      <c r="M60" s="132">
        <f t="shared" si="50"/>
        <v>0</v>
      </c>
      <c r="N60" s="330"/>
      <c r="O60" s="635" t="e">
        <f t="shared" si="51"/>
        <v>#DIV/0!</v>
      </c>
    </row>
    <row r="61" spans="1:83" x14ac:dyDescent="0.2">
      <c r="A61" s="230" t="s">
        <v>143</v>
      </c>
      <c r="B61" s="96" t="s">
        <v>183</v>
      </c>
      <c r="C61" s="147">
        <v>12</v>
      </c>
      <c r="D61" s="132">
        <f>ROUND(F61/F6,2)</f>
        <v>24.79</v>
      </c>
      <c r="E61" s="147"/>
      <c r="F61" s="331">
        <f>пр.3!F24</f>
        <v>12790</v>
      </c>
      <c r="G61" s="132">
        <f t="shared" si="45"/>
        <v>24.79</v>
      </c>
      <c r="H61" s="132">
        <f t="shared" si="46"/>
        <v>24.79</v>
      </c>
      <c r="I61" s="132">
        <f t="shared" si="47"/>
        <v>24.79</v>
      </c>
      <c r="J61" s="132">
        <f t="shared" si="48"/>
        <v>24.79</v>
      </c>
      <c r="K61" s="132">
        <f t="shared" si="48"/>
        <v>0</v>
      </c>
      <c r="L61" s="132">
        <f t="shared" si="49"/>
        <v>0</v>
      </c>
      <c r="M61" s="132">
        <f t="shared" si="50"/>
        <v>0</v>
      </c>
      <c r="N61" s="331">
        <f>'прил.3 фок'!F12</f>
        <v>0</v>
      </c>
      <c r="O61" s="635" t="e">
        <f t="shared" si="51"/>
        <v>#DIV/0!</v>
      </c>
    </row>
    <row r="62" spans="1:83" x14ac:dyDescent="0.2">
      <c r="A62" s="22" t="s">
        <v>468</v>
      </c>
      <c r="B62" s="96" t="s">
        <v>183</v>
      </c>
      <c r="C62" s="139"/>
      <c r="D62" s="132">
        <f>ROUND(F62/F6,2)</f>
        <v>7.75</v>
      </c>
      <c r="E62" s="147"/>
      <c r="F62" s="331">
        <f>пр.3!F19</f>
        <v>4000</v>
      </c>
      <c r="G62" s="132">
        <f t="shared" si="45"/>
        <v>7.75</v>
      </c>
      <c r="H62" s="132">
        <f t="shared" si="46"/>
        <v>7.75</v>
      </c>
      <c r="I62" s="132">
        <f t="shared" si="47"/>
        <v>7.75</v>
      </c>
      <c r="J62" s="132">
        <f t="shared" si="48"/>
        <v>7.75</v>
      </c>
      <c r="K62" s="132">
        <f t="shared" si="48"/>
        <v>0</v>
      </c>
      <c r="L62" s="132">
        <f t="shared" si="49"/>
        <v>0</v>
      </c>
      <c r="M62" s="132">
        <f t="shared" si="50"/>
        <v>0</v>
      </c>
      <c r="N62" s="331">
        <f>'прил.3 фок'!F11+'прил.3 фок'!F16+'прил.3 фок'!F17+'прил.3 фок'!F18+'прил.3 фок'!F19+'прил.3 фок'!F20+'прил.3 фок'!F21+'прил.3 фок'!F23+'прил.3 фок'!F22+'прил.3 фок'!B59</f>
        <v>0</v>
      </c>
      <c r="O62" s="635" t="e">
        <f t="shared" si="51"/>
        <v>#DIV/0!</v>
      </c>
      <c r="P62" s="67"/>
      <c r="Q62" s="67"/>
      <c r="R62" s="67"/>
    </row>
    <row r="63" spans="1:83" s="115" customFormat="1" ht="13.5" thickBot="1" x14ac:dyDescent="0.25">
      <c r="A63" s="128" t="s">
        <v>106</v>
      </c>
      <c r="B63" s="127"/>
      <c r="C63" s="127"/>
      <c r="D63" s="126">
        <f>SUM(D45:D62)</f>
        <v>401.59999999999997</v>
      </c>
      <c r="E63" s="146"/>
      <c r="F63" s="126">
        <f t="shared" ref="F63:M63" si="52">SUM(F45:F62)</f>
        <v>207224.52</v>
      </c>
      <c r="G63" s="126">
        <f t="shared" si="52"/>
        <v>401.59999999999997</v>
      </c>
      <c r="H63" s="126">
        <f t="shared" si="52"/>
        <v>401.59999999999997</v>
      </c>
      <c r="I63" s="126">
        <f t="shared" si="52"/>
        <v>401.59999999999997</v>
      </c>
      <c r="J63" s="126">
        <f t="shared" si="52"/>
        <v>401.59999999999997</v>
      </c>
      <c r="K63" s="126">
        <f t="shared" ref="K63" si="53">SUM(K45:K62)</f>
        <v>0</v>
      </c>
      <c r="L63" s="126">
        <f t="shared" ref="L63" si="54">SUM(L45:L62)</f>
        <v>0</v>
      </c>
      <c r="M63" s="126">
        <f t="shared" si="52"/>
        <v>0</v>
      </c>
      <c r="N63" s="126">
        <f t="shared" ref="N63:O63" si="55">SUM(N45:N62)</f>
        <v>0</v>
      </c>
      <c r="O63" s="636" t="e">
        <f t="shared" si="55"/>
        <v>#DIV/0!</v>
      </c>
      <c r="P63" s="67"/>
      <c r="Q63" s="67"/>
      <c r="R63" s="67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</row>
    <row r="64" spans="1:83" ht="18" customHeight="1" thickBot="1" x14ac:dyDescent="0.25">
      <c r="A64" s="932" t="s">
        <v>194</v>
      </c>
      <c r="B64" s="933"/>
      <c r="C64" s="933"/>
      <c r="D64" s="933"/>
      <c r="E64" s="933"/>
      <c r="F64" s="933"/>
      <c r="G64" s="933"/>
      <c r="H64" s="933"/>
      <c r="I64" s="933"/>
      <c r="J64" s="933"/>
      <c r="K64" s="749"/>
      <c r="L64" s="749"/>
      <c r="N64" s="68"/>
      <c r="O64" s="632"/>
      <c r="P64" s="67"/>
      <c r="Q64" s="67"/>
      <c r="R64" s="67"/>
    </row>
    <row r="65" spans="1:83" x14ac:dyDescent="0.2">
      <c r="A65" s="104" t="s">
        <v>272</v>
      </c>
      <c r="B65" s="101" t="s">
        <v>183</v>
      </c>
      <c r="C65" s="101">
        <v>12</v>
      </c>
      <c r="D65" s="101">
        <f>ROUND(F65/F6,2)</f>
        <v>46.51</v>
      </c>
      <c r="E65" s="101"/>
      <c r="F65" s="102">
        <f>пр.3!F33+пр.3!F34+пр.3!F35+пр.3!F36+пр.3!F37+пр.3!F39+пр.3!F38</f>
        <v>23999</v>
      </c>
      <c r="G65" s="101">
        <f>IF(G$6=0,0,D65)</f>
        <v>46.51</v>
      </c>
      <c r="H65" s="101">
        <f>IF(H$6=0,0,D65)</f>
        <v>46.51</v>
      </c>
      <c r="I65" s="101">
        <f>IF(I$6=0,0,D65)</f>
        <v>46.51</v>
      </c>
      <c r="J65" s="143">
        <f>IF(J$6=0,0,D65)</f>
        <v>46.51</v>
      </c>
      <c r="K65" s="143">
        <f>IF(K$6=0,0,E65)</f>
        <v>0</v>
      </c>
      <c r="L65" s="143">
        <f>IF(L$6=0,0,E65)</f>
        <v>0</v>
      </c>
      <c r="M65" s="143">
        <f>IF(M$6=0,0,E65)</f>
        <v>0</v>
      </c>
      <c r="N65" s="102">
        <f>'прил.3 фок'!F42</f>
        <v>0</v>
      </c>
      <c r="O65" s="635" t="e">
        <f t="shared" ref="O65:O66" si="56">ROUND(N65/$O$6,5)</f>
        <v>#DIV/0!</v>
      </c>
      <c r="P65" s="67"/>
      <c r="Q65" s="67"/>
      <c r="R65" s="67"/>
    </row>
    <row r="66" spans="1:83" x14ac:dyDescent="0.2">
      <c r="A66" s="99" t="s">
        <v>193</v>
      </c>
      <c r="B66" s="236" t="s">
        <v>183</v>
      </c>
      <c r="C66" s="236">
        <v>12</v>
      </c>
      <c r="D66" s="236">
        <f>ROUND(F66/F6,2)</f>
        <v>0</v>
      </c>
      <c r="E66" s="236"/>
      <c r="F66" s="236">
        <f>пр.3!F41</f>
        <v>0</v>
      </c>
      <c r="G66" s="179">
        <f>IF(G$6=0,0,D66)</f>
        <v>0</v>
      </c>
      <c r="H66" s="179">
        <f>IF(H$6=0,0,D66)</f>
        <v>0</v>
      </c>
      <c r="I66" s="179">
        <f>IF(I$6=0,0,D66)</f>
        <v>0</v>
      </c>
      <c r="J66" s="183">
        <f>IF(J$6=0,0,D66)</f>
        <v>0</v>
      </c>
      <c r="K66" s="183">
        <f>IF(K$6=0,0,E66)</f>
        <v>0</v>
      </c>
      <c r="L66" s="183">
        <f>IF(L$6=0,0,E66)</f>
        <v>0</v>
      </c>
      <c r="M66" s="183">
        <f>IF(M$6=0,0,E66)</f>
        <v>0</v>
      </c>
      <c r="N66" s="236">
        <f>'прил.3 фок'!F43</f>
        <v>0</v>
      </c>
      <c r="O66" s="635" t="e">
        <f t="shared" si="56"/>
        <v>#DIV/0!</v>
      </c>
    </row>
    <row r="67" spans="1:83" s="115" customFormat="1" ht="13.5" thickBot="1" x14ac:dyDescent="0.25">
      <c r="A67" s="128" t="s">
        <v>106</v>
      </c>
      <c r="B67" s="127"/>
      <c r="C67" s="127"/>
      <c r="D67" s="146">
        <f>SUM(D65+D66)</f>
        <v>46.51</v>
      </c>
      <c r="E67" s="127"/>
      <c r="F67" s="146">
        <f t="shared" ref="F67:M67" si="57">SUM(F65+F66)</f>
        <v>23999</v>
      </c>
      <c r="G67" s="146">
        <f t="shared" si="57"/>
        <v>46.51</v>
      </c>
      <c r="H67" s="146">
        <f t="shared" si="57"/>
        <v>46.51</v>
      </c>
      <c r="I67" s="146">
        <f t="shared" si="57"/>
        <v>46.51</v>
      </c>
      <c r="J67" s="145">
        <f t="shared" si="57"/>
        <v>46.51</v>
      </c>
      <c r="K67" s="145">
        <f t="shared" ref="K67" si="58">SUM(K65+K66)</f>
        <v>0</v>
      </c>
      <c r="L67" s="145">
        <f t="shared" ref="L67" si="59">SUM(L65+L66)</f>
        <v>0</v>
      </c>
      <c r="M67" s="145">
        <f t="shared" si="57"/>
        <v>0</v>
      </c>
      <c r="N67" s="146">
        <f t="shared" ref="N67:O67" si="60">SUM(N65+N66)</f>
        <v>0</v>
      </c>
      <c r="O67" s="629" t="e">
        <f t="shared" si="60"/>
        <v>#DIV/0!</v>
      </c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</row>
    <row r="68" spans="1:83" ht="16.5" thickBot="1" x14ac:dyDescent="0.25">
      <c r="A68" s="925" t="s">
        <v>192</v>
      </c>
      <c r="B68" s="925"/>
      <c r="C68" s="925"/>
      <c r="D68" s="925"/>
      <c r="E68" s="925"/>
      <c r="F68" s="925"/>
      <c r="G68" s="177"/>
      <c r="H68" s="177"/>
      <c r="I68" s="177"/>
      <c r="J68" s="177"/>
      <c r="K68" s="177"/>
      <c r="L68" s="177"/>
      <c r="N68" s="68"/>
      <c r="O68" s="632"/>
    </row>
    <row r="69" spans="1:83" x14ac:dyDescent="0.2">
      <c r="A69" s="25" t="s">
        <v>269</v>
      </c>
      <c r="B69" s="101" t="s">
        <v>183</v>
      </c>
      <c r="C69" s="144">
        <v>12</v>
      </c>
      <c r="D69" s="101">
        <f>ROUND(F69/F6,2)</f>
        <v>114.84</v>
      </c>
      <c r="E69" s="144"/>
      <c r="F69" s="143">
        <f>пр.3!F51</f>
        <v>59260</v>
      </c>
      <c r="G69" s="101">
        <f t="shared" ref="G69:G77" si="61">IF(G$6=0,0,D69)</f>
        <v>114.84</v>
      </c>
      <c r="H69" s="101">
        <f t="shared" ref="H69:H77" si="62">IF(H$6=0,0,D69)</f>
        <v>114.84</v>
      </c>
      <c r="I69" s="101">
        <f t="shared" ref="I69:I77" si="63">IF(I$6=0,0,D69)</f>
        <v>114.84</v>
      </c>
      <c r="J69" s="101">
        <f t="shared" ref="J69:K77" si="64">IF(J$6=0,0,D69)</f>
        <v>114.84</v>
      </c>
      <c r="K69" s="101">
        <f t="shared" si="64"/>
        <v>0</v>
      </c>
      <c r="L69" s="101">
        <f t="shared" ref="L69:L77" si="65">IF(L$6=0,0,E69)</f>
        <v>0</v>
      </c>
      <c r="M69" s="101">
        <f t="shared" ref="M69:M75" si="66">IF(M$6=0,0,E69)</f>
        <v>0</v>
      </c>
      <c r="N69" s="143">
        <f>'прил.3 фок'!F67</f>
        <v>0</v>
      </c>
      <c r="O69" s="635" t="e">
        <f t="shared" ref="O69:O77" si="67">ROUND(N69/$O$6,5)</f>
        <v>#DIV/0!</v>
      </c>
    </row>
    <row r="70" spans="1:83" x14ac:dyDescent="0.2">
      <c r="A70" s="99" t="s">
        <v>191</v>
      </c>
      <c r="B70" s="96" t="s">
        <v>183</v>
      </c>
      <c r="C70" s="142"/>
      <c r="D70" s="132">
        <f>ROUND(F70/F6,2)</f>
        <v>0</v>
      </c>
      <c r="E70" s="142"/>
      <c r="F70" s="141"/>
      <c r="G70" s="132">
        <f t="shared" si="61"/>
        <v>0</v>
      </c>
      <c r="H70" s="132">
        <f t="shared" si="62"/>
        <v>0</v>
      </c>
      <c r="I70" s="132">
        <f t="shared" si="63"/>
        <v>0</v>
      </c>
      <c r="J70" s="132">
        <f t="shared" si="64"/>
        <v>0</v>
      </c>
      <c r="K70" s="132">
        <f t="shared" si="64"/>
        <v>0</v>
      </c>
      <c r="L70" s="132">
        <f t="shared" si="65"/>
        <v>0</v>
      </c>
      <c r="M70" s="132">
        <f t="shared" si="66"/>
        <v>0</v>
      </c>
      <c r="N70" s="210">
        <f>'прил.3 фок'!F75</f>
        <v>0</v>
      </c>
      <c r="O70" s="635" t="e">
        <f t="shared" si="67"/>
        <v>#DIV/0!</v>
      </c>
    </row>
    <row r="71" spans="1:83" x14ac:dyDescent="0.2">
      <c r="A71" s="140" t="s">
        <v>271</v>
      </c>
      <c r="B71" s="96" t="s">
        <v>183</v>
      </c>
      <c r="C71" s="142">
        <v>1</v>
      </c>
      <c r="D71" s="132">
        <f>ROUND(F71/F6,2)</f>
        <v>4.84</v>
      </c>
      <c r="E71" s="142"/>
      <c r="F71" s="323">
        <f>пр.3!F53</f>
        <v>2500</v>
      </c>
      <c r="G71" s="132">
        <f t="shared" si="61"/>
        <v>4.84</v>
      </c>
      <c r="H71" s="132">
        <f t="shared" si="62"/>
        <v>4.84</v>
      </c>
      <c r="I71" s="132">
        <f t="shared" si="63"/>
        <v>4.84</v>
      </c>
      <c r="J71" s="132">
        <f t="shared" si="64"/>
        <v>4.84</v>
      </c>
      <c r="K71" s="132">
        <f t="shared" si="64"/>
        <v>0</v>
      </c>
      <c r="L71" s="132">
        <f t="shared" si="65"/>
        <v>0</v>
      </c>
      <c r="M71" s="132">
        <f t="shared" si="66"/>
        <v>0</v>
      </c>
      <c r="N71" s="323">
        <f>'прил.3 фок'!F72</f>
        <v>0</v>
      </c>
      <c r="O71" s="635" t="e">
        <f t="shared" si="67"/>
        <v>#DIV/0!</v>
      </c>
    </row>
    <row r="72" spans="1:83" x14ac:dyDescent="0.2">
      <c r="A72" s="140" t="s">
        <v>134</v>
      </c>
      <c r="B72" s="96" t="s">
        <v>183</v>
      </c>
      <c r="C72" s="142"/>
      <c r="D72" s="132">
        <f>ROUND(F72/F6,2)</f>
        <v>0</v>
      </c>
      <c r="E72" s="142"/>
      <c r="F72" s="323">
        <f>пр.3!F57</f>
        <v>0</v>
      </c>
      <c r="G72" s="132">
        <f t="shared" si="61"/>
        <v>0</v>
      </c>
      <c r="H72" s="132">
        <f t="shared" si="62"/>
        <v>0</v>
      </c>
      <c r="I72" s="132">
        <f t="shared" si="63"/>
        <v>0</v>
      </c>
      <c r="J72" s="132">
        <f t="shared" si="64"/>
        <v>0</v>
      </c>
      <c r="K72" s="132">
        <f t="shared" si="64"/>
        <v>0</v>
      </c>
      <c r="L72" s="132">
        <f t="shared" si="65"/>
        <v>0</v>
      </c>
      <c r="M72" s="132">
        <f t="shared" si="66"/>
        <v>0</v>
      </c>
      <c r="N72" s="323"/>
      <c r="O72" s="635" t="e">
        <f t="shared" si="67"/>
        <v>#DIV/0!</v>
      </c>
    </row>
    <row r="73" spans="1:83" x14ac:dyDescent="0.2">
      <c r="A73" s="140" t="s">
        <v>501</v>
      </c>
      <c r="B73" s="96" t="s">
        <v>183</v>
      </c>
      <c r="C73" s="139"/>
      <c r="D73" s="132">
        <f>ROUND(F73/F6,2)</f>
        <v>0</v>
      </c>
      <c r="E73" s="139"/>
      <c r="F73" s="323">
        <f>пр.3!F55</f>
        <v>0</v>
      </c>
      <c r="G73" s="132">
        <f t="shared" si="61"/>
        <v>0</v>
      </c>
      <c r="H73" s="132">
        <f t="shared" si="62"/>
        <v>0</v>
      </c>
      <c r="I73" s="132">
        <f>IF(I$6=0,0,D73)</f>
        <v>0</v>
      </c>
      <c r="J73" s="132">
        <f t="shared" si="64"/>
        <v>0</v>
      </c>
      <c r="K73" s="132">
        <f t="shared" si="64"/>
        <v>0</v>
      </c>
      <c r="L73" s="132">
        <f t="shared" si="65"/>
        <v>0</v>
      </c>
      <c r="M73" s="132">
        <f t="shared" si="66"/>
        <v>0</v>
      </c>
      <c r="N73" s="323"/>
      <c r="O73" s="635" t="e">
        <f t="shared" si="67"/>
        <v>#DIV/0!</v>
      </c>
    </row>
    <row r="74" spans="1:83" x14ac:dyDescent="0.2">
      <c r="A74" s="140" t="s">
        <v>583</v>
      </c>
      <c r="B74" s="236" t="s">
        <v>183</v>
      </c>
      <c r="C74" s="139"/>
      <c r="D74" s="132">
        <f>ROUND(F74/F6,2)</f>
        <v>683.72</v>
      </c>
      <c r="E74" s="139"/>
      <c r="F74" s="323">
        <f>пр.3!F56</f>
        <v>352800</v>
      </c>
      <c r="G74" s="132">
        <f t="shared" ref="G74" si="68">IF(G$6=0,0,D74)</f>
        <v>683.72</v>
      </c>
      <c r="H74" s="132">
        <f t="shared" ref="H74" si="69">IF(H$6=0,0,D74)</f>
        <v>683.72</v>
      </c>
      <c r="I74" s="132">
        <f>IF(I$6=0,0,D74)</f>
        <v>683.72</v>
      </c>
      <c r="J74" s="132">
        <f t="shared" ref="J74:K74" si="70">IF(J$6=0,0,D74)</f>
        <v>683.72</v>
      </c>
      <c r="K74" s="132">
        <f t="shared" si="70"/>
        <v>0</v>
      </c>
      <c r="L74" s="132">
        <f t="shared" si="65"/>
        <v>0</v>
      </c>
      <c r="M74" s="132">
        <f t="shared" si="66"/>
        <v>0</v>
      </c>
      <c r="N74" s="323"/>
      <c r="O74" s="635" t="e">
        <f t="shared" si="67"/>
        <v>#DIV/0!</v>
      </c>
    </row>
    <row r="75" spans="1:83" ht="15" customHeight="1" x14ac:dyDescent="0.2">
      <c r="A75" s="140" t="s">
        <v>270</v>
      </c>
      <c r="B75" s="96" t="s">
        <v>183</v>
      </c>
      <c r="C75" s="139">
        <v>1</v>
      </c>
      <c r="D75" s="132">
        <f>ROUND(F75/F6,2)</f>
        <v>0</v>
      </c>
      <c r="E75" s="139"/>
      <c r="F75" s="138">
        <f>пр.3!F52</f>
        <v>0</v>
      </c>
      <c r="G75" s="132">
        <f t="shared" si="61"/>
        <v>0</v>
      </c>
      <c r="H75" s="132">
        <f t="shared" si="62"/>
        <v>0</v>
      </c>
      <c r="I75" s="132">
        <f t="shared" si="63"/>
        <v>0</v>
      </c>
      <c r="J75" s="132">
        <f t="shared" si="64"/>
        <v>0</v>
      </c>
      <c r="K75" s="132">
        <f t="shared" si="64"/>
        <v>0</v>
      </c>
      <c r="L75" s="132">
        <f t="shared" si="65"/>
        <v>0</v>
      </c>
      <c r="M75" s="132">
        <f t="shared" si="66"/>
        <v>0</v>
      </c>
      <c r="N75" s="138"/>
      <c r="O75" s="635" t="e">
        <f t="shared" si="67"/>
        <v>#DIV/0!</v>
      </c>
    </row>
    <row r="76" spans="1:83" x14ac:dyDescent="0.2">
      <c r="A76" s="22" t="s">
        <v>468</v>
      </c>
      <c r="B76" s="96" t="s">
        <v>183</v>
      </c>
      <c r="C76" s="139"/>
      <c r="D76" s="132">
        <f>ROUND(F76/F6,2)</f>
        <v>0</v>
      </c>
      <c r="E76" s="139"/>
      <c r="F76" s="138">
        <f>пр.3!F59</f>
        <v>0</v>
      </c>
      <c r="G76" s="132">
        <f t="shared" si="61"/>
        <v>0</v>
      </c>
      <c r="H76" s="132">
        <f t="shared" si="62"/>
        <v>0</v>
      </c>
      <c r="I76" s="132">
        <f t="shared" si="63"/>
        <v>0</v>
      </c>
      <c r="J76" s="132">
        <f t="shared" si="64"/>
        <v>0</v>
      </c>
      <c r="K76" s="132">
        <f t="shared" si="64"/>
        <v>0</v>
      </c>
      <c r="L76" s="132">
        <f t="shared" si="65"/>
        <v>0</v>
      </c>
      <c r="M76" s="132">
        <f>прил1.мероприятия!E72</f>
        <v>0</v>
      </c>
      <c r="N76" s="138">
        <f>'прил.3 фок'!F68+'прил.3 фок'!F69+'прил.3 фок'!F70+'прил.3 фок'!F71+'прил.3 фок'!F73+'прил.3 фок'!F74</f>
        <v>0</v>
      </c>
      <c r="O76" s="635" t="e">
        <f t="shared" si="67"/>
        <v>#DIV/0!</v>
      </c>
    </row>
    <row r="77" spans="1:83" x14ac:dyDescent="0.2">
      <c r="A77" s="56" t="s">
        <v>515</v>
      </c>
      <c r="B77" s="96" t="s">
        <v>183</v>
      </c>
      <c r="C77" s="139"/>
      <c r="D77" s="132">
        <f>ROUND(F77/F6,2)</f>
        <v>8.6199999999999992</v>
      </c>
      <c r="E77" s="139"/>
      <c r="F77" s="138">
        <f>пр.3!F54</f>
        <v>4450</v>
      </c>
      <c r="G77" s="132">
        <f t="shared" si="61"/>
        <v>8.6199999999999992</v>
      </c>
      <c r="H77" s="132">
        <f t="shared" si="62"/>
        <v>8.6199999999999992</v>
      </c>
      <c r="I77" s="132">
        <f t="shared" si="63"/>
        <v>8.6199999999999992</v>
      </c>
      <c r="J77" s="132">
        <f t="shared" si="64"/>
        <v>8.6199999999999992</v>
      </c>
      <c r="K77" s="132">
        <f t="shared" si="64"/>
        <v>0</v>
      </c>
      <c r="L77" s="132">
        <f t="shared" si="65"/>
        <v>0</v>
      </c>
      <c r="M77" s="132">
        <f>IF(M$6=0,0,E77)</f>
        <v>0</v>
      </c>
      <c r="N77" s="138"/>
      <c r="O77" s="635" t="e">
        <f t="shared" si="67"/>
        <v>#DIV/0!</v>
      </c>
    </row>
    <row r="78" spans="1:83" s="134" customFormat="1" ht="13.5" thickBot="1" x14ac:dyDescent="0.25">
      <c r="A78" s="137" t="s">
        <v>182</v>
      </c>
      <c r="B78" s="136"/>
      <c r="C78" s="136"/>
      <c r="D78" s="135">
        <f>SUM(D69:D77)</f>
        <v>812.0200000000001</v>
      </c>
      <c r="E78" s="136"/>
      <c r="F78" s="135">
        <f>F69+F70+F77+F71+F72+F75+F76+F73+F74</f>
        <v>419010</v>
      </c>
      <c r="G78" s="135">
        <f t="shared" ref="G78:J78" si="71">G69+G70+G77+G71+G72+G75+G76+G73+G74</f>
        <v>812.02</v>
      </c>
      <c r="H78" s="135">
        <f t="shared" si="71"/>
        <v>812.02</v>
      </c>
      <c r="I78" s="135">
        <f t="shared" si="71"/>
        <v>812.02</v>
      </c>
      <c r="J78" s="135">
        <f t="shared" si="71"/>
        <v>812.02</v>
      </c>
      <c r="K78" s="135">
        <f t="shared" ref="K78" si="72">K69+K70+K77+K71+K72+K75+K76+K73+K74</f>
        <v>0</v>
      </c>
      <c r="L78" s="135">
        <f t="shared" ref="L78" si="73">L69+L70+L77+L71+L72+L75+L76+L73+L74</f>
        <v>0</v>
      </c>
      <c r="M78" s="135">
        <f t="shared" ref="M78" si="74">M69+M70+M77+M71+M72+M75+M76+M73+M74</f>
        <v>0</v>
      </c>
      <c r="N78" s="135">
        <f>N69+N70+N77+N71+N72+N75+N76+N73+N74</f>
        <v>0</v>
      </c>
      <c r="O78" s="638" t="e">
        <f>O69+O70+O77+O71+O72+O75+O76+O73+O74</f>
        <v>#DIV/0!</v>
      </c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</row>
    <row r="79" spans="1:83" s="110" customFormat="1" ht="18.75" customHeight="1" x14ac:dyDescent="0.2">
      <c r="A79" s="928" t="s">
        <v>190</v>
      </c>
      <c r="B79" s="929"/>
      <c r="C79" s="929"/>
      <c r="D79" s="929"/>
      <c r="E79" s="929"/>
      <c r="F79" s="929"/>
      <c r="G79" s="929"/>
      <c r="H79" s="929"/>
      <c r="I79" s="929"/>
      <c r="J79" s="929"/>
      <c r="K79" s="750"/>
      <c r="L79" s="750"/>
      <c r="M79" s="68"/>
      <c r="N79" s="68"/>
      <c r="O79" s="632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I79" s="68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</row>
    <row r="80" spans="1:83" s="110" customFormat="1" ht="36.75" customHeight="1" thickBot="1" x14ac:dyDescent="0.3">
      <c r="A80" s="943" t="s">
        <v>189</v>
      </c>
      <c r="B80" s="943"/>
      <c r="C80" s="943"/>
      <c r="D80" s="943"/>
      <c r="E80" s="943"/>
      <c r="F80" s="943"/>
      <c r="G80" s="943"/>
      <c r="H80" s="943"/>
      <c r="I80" s="943"/>
      <c r="J80" s="943"/>
      <c r="K80" s="748"/>
      <c r="L80" s="748"/>
      <c r="M80" s="68"/>
      <c r="N80" s="68"/>
      <c r="O80" s="632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  <c r="BI80" s="68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</row>
    <row r="81" spans="1:83" s="110" customFormat="1" x14ac:dyDescent="0.2">
      <c r="A81" s="125" t="s">
        <v>160</v>
      </c>
      <c r="B81" s="101" t="s">
        <v>183</v>
      </c>
      <c r="C81" s="133">
        <v>12</v>
      </c>
      <c r="D81" s="101">
        <f>ROUND(F81/F6,2)</f>
        <v>0</v>
      </c>
      <c r="E81" s="124"/>
      <c r="F81" s="100">
        <f>пр.4!F6</f>
        <v>0</v>
      </c>
      <c r="G81" s="101">
        <f>IF(G$6=0,0,D81)</f>
        <v>0</v>
      </c>
      <c r="H81" s="101">
        <f>IF(H$6=0,0,D81)</f>
        <v>0</v>
      </c>
      <c r="I81" s="101">
        <f>IF(I$6=0,0,D81)</f>
        <v>0</v>
      </c>
      <c r="J81" s="101">
        <f>IF(J$6=0,0,D81)</f>
        <v>0</v>
      </c>
      <c r="K81" s="101">
        <f>IF(K$6=0,0,E81)</f>
        <v>0</v>
      </c>
      <c r="L81" s="101">
        <f>IF(L$6=0,0,E81)</f>
        <v>0</v>
      </c>
      <c r="M81" s="101">
        <f>IF(M$6=0,0,E81)</f>
        <v>0</v>
      </c>
      <c r="N81" s="100"/>
      <c r="O81" s="637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  <c r="BI81" s="68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</row>
    <row r="82" spans="1:83" s="110" customFormat="1" x14ac:dyDescent="0.2">
      <c r="A82" s="76" t="s">
        <v>159</v>
      </c>
      <c r="B82" s="96" t="s">
        <v>183</v>
      </c>
      <c r="C82" s="131">
        <v>12</v>
      </c>
      <c r="D82" s="132">
        <f>ROUND(F82/F6,2)</f>
        <v>0</v>
      </c>
      <c r="E82" s="130"/>
      <c r="F82" s="95">
        <f>пр.4!F7</f>
        <v>0</v>
      </c>
      <c r="G82" s="132">
        <f>IF(G$6=0,0,D82)</f>
        <v>0</v>
      </c>
      <c r="H82" s="132">
        <f>IF(H$6=0,0,D82)</f>
        <v>0</v>
      </c>
      <c r="I82" s="132">
        <f>IF(I$6=0,0,D82)</f>
        <v>0</v>
      </c>
      <c r="J82" s="132">
        <f>IF(J$6=0,0,D82)</f>
        <v>0</v>
      </c>
      <c r="K82" s="132">
        <f>IF(K$6=0,0,E82)</f>
        <v>0</v>
      </c>
      <c r="L82" s="132">
        <f>IF(L$6=0,0,E82)</f>
        <v>0</v>
      </c>
      <c r="M82" s="132">
        <f>IF(M$6=0,0,E82)</f>
        <v>0</v>
      </c>
      <c r="N82" s="95"/>
      <c r="O82" s="634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</row>
    <row r="83" spans="1:83" s="115" customFormat="1" ht="13.5" thickBot="1" x14ac:dyDescent="0.25">
      <c r="A83" s="128" t="s">
        <v>182</v>
      </c>
      <c r="B83" s="127"/>
      <c r="C83" s="127"/>
      <c r="D83" s="126">
        <f>D81+D82</f>
        <v>0</v>
      </c>
      <c r="E83" s="127"/>
      <c r="F83" s="126">
        <f t="shared" ref="F83:M83" si="75">F81+F82</f>
        <v>0</v>
      </c>
      <c r="G83" s="126">
        <f t="shared" si="75"/>
        <v>0</v>
      </c>
      <c r="H83" s="126">
        <f t="shared" si="75"/>
        <v>0</v>
      </c>
      <c r="I83" s="126">
        <f t="shared" si="75"/>
        <v>0</v>
      </c>
      <c r="J83" s="126">
        <f t="shared" si="75"/>
        <v>0</v>
      </c>
      <c r="K83" s="126">
        <f t="shared" ref="K83" si="76">K81+K82</f>
        <v>0</v>
      </c>
      <c r="L83" s="126">
        <f t="shared" ref="L83" si="77">L81+L82</f>
        <v>0</v>
      </c>
      <c r="M83" s="126">
        <f t="shared" si="75"/>
        <v>0</v>
      </c>
      <c r="N83" s="126">
        <f t="shared" ref="N83:O83" si="78">N81+N82</f>
        <v>0</v>
      </c>
      <c r="O83" s="636">
        <f t="shared" si="78"/>
        <v>0</v>
      </c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  <c r="BH83" s="68"/>
      <c r="BI83" s="68"/>
      <c r="BJ83" s="68"/>
      <c r="BK83" s="68"/>
      <c r="BL83" s="68"/>
      <c r="BM83" s="68"/>
      <c r="BN83" s="68"/>
      <c r="BO83" s="68"/>
      <c r="BP83" s="68"/>
      <c r="BQ83" s="68"/>
      <c r="BR83" s="68"/>
      <c r="BS83" s="68"/>
      <c r="BT83" s="68"/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</row>
    <row r="84" spans="1:83" s="110" customFormat="1" ht="16.5" thickBot="1" x14ac:dyDescent="0.3">
      <c r="A84" s="926" t="s">
        <v>188</v>
      </c>
      <c r="B84" s="926"/>
      <c r="C84" s="926"/>
      <c r="D84" s="926"/>
      <c r="E84" s="926"/>
      <c r="F84" s="927"/>
      <c r="G84" s="177"/>
      <c r="H84" s="177"/>
      <c r="I84" s="177"/>
      <c r="J84" s="177"/>
      <c r="K84" s="177"/>
      <c r="L84" s="177"/>
      <c r="M84" s="68"/>
      <c r="N84" s="68"/>
      <c r="O84" s="632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</row>
    <row r="85" spans="1:83" s="110" customFormat="1" x14ac:dyDescent="0.2">
      <c r="A85" s="125" t="s">
        <v>584</v>
      </c>
      <c r="B85" s="101" t="s">
        <v>183</v>
      </c>
      <c r="C85" s="133">
        <v>12</v>
      </c>
      <c r="D85" s="101">
        <f>ROUND(F85/F6,2)</f>
        <v>1.83</v>
      </c>
      <c r="E85" s="124"/>
      <c r="F85" s="123">
        <f>пр.4!F26</f>
        <v>944</v>
      </c>
      <c r="G85" s="101">
        <f>IF(G$6=0,0,D85)</f>
        <v>1.83</v>
      </c>
      <c r="H85" s="101">
        <f>IF(H$6=0,0,D85)</f>
        <v>1.83</v>
      </c>
      <c r="I85" s="101">
        <f>IF(I$6=0,0,D85)</f>
        <v>1.83</v>
      </c>
      <c r="J85" s="101">
        <f t="shared" ref="J85:K88" si="79">IF(J$6=0,0,D85)</f>
        <v>1.83</v>
      </c>
      <c r="K85" s="101">
        <f t="shared" si="79"/>
        <v>0</v>
      </c>
      <c r="L85" s="101">
        <f>IF(L$6=0,0,E85)</f>
        <v>0</v>
      </c>
      <c r="M85" s="101">
        <f>IF(M$6=0,0,E85)</f>
        <v>0</v>
      </c>
      <c r="N85" s="123"/>
      <c r="O85" s="639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</row>
    <row r="86" spans="1:83" s="110" customFormat="1" x14ac:dyDescent="0.2">
      <c r="A86" s="76" t="s">
        <v>585</v>
      </c>
      <c r="B86" s="96" t="s">
        <v>183</v>
      </c>
      <c r="C86" s="131">
        <v>12</v>
      </c>
      <c r="D86" s="132">
        <f>ROUND(F86/F6,2)</f>
        <v>19.57</v>
      </c>
      <c r="E86" s="130"/>
      <c r="F86" s="129">
        <f>пр.4!F27</f>
        <v>10098</v>
      </c>
      <c r="G86" s="132">
        <f>IF(G$6=0,0,D86)</f>
        <v>19.57</v>
      </c>
      <c r="H86" s="132">
        <f>IF(H$6=0,0,D86)</f>
        <v>19.57</v>
      </c>
      <c r="I86" s="132">
        <f>IF(I$6=0,0,D86)</f>
        <v>19.57</v>
      </c>
      <c r="J86" s="132">
        <f t="shared" si="79"/>
        <v>19.57</v>
      </c>
      <c r="K86" s="132">
        <f t="shared" si="79"/>
        <v>0</v>
      </c>
      <c r="L86" s="132">
        <f>IF(L$6=0,0,E86)</f>
        <v>0</v>
      </c>
      <c r="M86" s="132">
        <f>IF(M$6=0,0,E86)</f>
        <v>0</v>
      </c>
      <c r="N86" s="129"/>
      <c r="O86" s="640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  <c r="BH86" s="68"/>
      <c r="BI86" s="68"/>
      <c r="BJ86" s="68"/>
      <c r="BK86" s="68"/>
      <c r="BL86" s="68"/>
      <c r="BM86" s="68"/>
      <c r="BN86" s="68"/>
      <c r="BO86" s="68"/>
      <c r="BP86" s="68"/>
      <c r="BQ86" s="68"/>
      <c r="BR86" s="68"/>
      <c r="BS86" s="68"/>
      <c r="BT86" s="68"/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</row>
    <row r="87" spans="1:83" s="110" customFormat="1" x14ac:dyDescent="0.2">
      <c r="A87" s="76" t="s">
        <v>502</v>
      </c>
      <c r="B87" s="96" t="s">
        <v>183</v>
      </c>
      <c r="C87" s="131">
        <v>12</v>
      </c>
      <c r="D87" s="132">
        <f>ROUND(F87/F6,2)</f>
        <v>456.4</v>
      </c>
      <c r="E87" s="130"/>
      <c r="F87" s="129">
        <f>пр.4!F28</f>
        <v>235500</v>
      </c>
      <c r="G87" s="131">
        <f>IF(G$6=0,0,D87)</f>
        <v>456.4</v>
      </c>
      <c r="H87" s="131">
        <f>IF(H$6=0,0,D87)</f>
        <v>456.4</v>
      </c>
      <c r="I87" s="131">
        <f>IF(I$6=0,0,D87)</f>
        <v>456.4</v>
      </c>
      <c r="J87" s="131">
        <f t="shared" si="79"/>
        <v>456.4</v>
      </c>
      <c r="K87" s="131">
        <f t="shared" si="79"/>
        <v>0</v>
      </c>
      <c r="L87" s="131">
        <f>IF(L$6=0,0,E87)</f>
        <v>0</v>
      </c>
      <c r="M87" s="131">
        <f>IF(M$6=0,0,E87)</f>
        <v>0</v>
      </c>
      <c r="N87" s="129"/>
      <c r="O87" s="640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  <c r="BH87" s="68"/>
      <c r="BI87" s="68"/>
      <c r="BJ87" s="68"/>
      <c r="BK87" s="68"/>
      <c r="BL87" s="68"/>
      <c r="BM87" s="68"/>
      <c r="BN87" s="68"/>
      <c r="BO87" s="68"/>
      <c r="BP87" s="68"/>
      <c r="BQ87" s="68"/>
      <c r="BR87" s="68"/>
      <c r="BS87" s="68"/>
      <c r="BT87" s="68"/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</row>
    <row r="88" spans="1:83" s="110" customFormat="1" x14ac:dyDescent="0.2">
      <c r="A88" s="76" t="s">
        <v>586</v>
      </c>
      <c r="B88" s="96" t="s">
        <v>183</v>
      </c>
      <c r="C88" s="130"/>
      <c r="D88" s="131"/>
      <c r="E88" s="130"/>
      <c r="F88" s="129"/>
      <c r="G88" s="131">
        <f>IF(G$6=0,0,D88)</f>
        <v>0</v>
      </c>
      <c r="H88" s="131">
        <f>IF(H$6=0,0,D88)</f>
        <v>0</v>
      </c>
      <c r="I88" s="131">
        <f>IF(I$6=0,0,D88)</f>
        <v>0</v>
      </c>
      <c r="J88" s="131">
        <f t="shared" si="79"/>
        <v>0</v>
      </c>
      <c r="K88" s="131">
        <f t="shared" si="79"/>
        <v>0</v>
      </c>
      <c r="L88" s="131">
        <f>IF(L$6=0,0,E88)</f>
        <v>0</v>
      </c>
      <c r="M88" s="131">
        <f>IF(M$6=0,0,E88)</f>
        <v>0</v>
      </c>
      <c r="N88" s="129"/>
      <c r="O88" s="640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68"/>
      <c r="BR88" s="68"/>
      <c r="BS88" s="68"/>
      <c r="BT88" s="68"/>
      <c r="BU88" s="68"/>
      <c r="BV88" s="68"/>
      <c r="BW88" s="68"/>
      <c r="BX88" s="68"/>
      <c r="BY88" s="68"/>
      <c r="BZ88" s="68"/>
      <c r="CA88" s="68"/>
      <c r="CB88" s="68"/>
      <c r="CC88" s="68"/>
      <c r="CD88" s="68"/>
      <c r="CE88" s="68"/>
    </row>
    <row r="89" spans="1:83" s="115" customFormat="1" ht="13.5" thickBot="1" x14ac:dyDescent="0.25">
      <c r="A89" s="128" t="s">
        <v>182</v>
      </c>
      <c r="B89" s="127"/>
      <c r="C89" s="127"/>
      <c r="D89" s="126">
        <f>D85+D86+D87+D88</f>
        <v>477.79999999999995</v>
      </c>
      <c r="E89" s="127"/>
      <c r="F89" s="126">
        <f t="shared" ref="F89:M89" si="80">F85+F86+F87+F88</f>
        <v>246542</v>
      </c>
      <c r="G89" s="126">
        <f t="shared" si="80"/>
        <v>477.79999999999995</v>
      </c>
      <c r="H89" s="126">
        <f t="shared" si="80"/>
        <v>477.79999999999995</v>
      </c>
      <c r="I89" s="126">
        <f t="shared" si="80"/>
        <v>477.79999999999995</v>
      </c>
      <c r="J89" s="126">
        <f t="shared" si="80"/>
        <v>477.79999999999995</v>
      </c>
      <c r="K89" s="126">
        <f t="shared" ref="K89" si="81">K85+K86+K87+K88</f>
        <v>0</v>
      </c>
      <c r="L89" s="126">
        <f t="shared" ref="L89" si="82">L85+L86+L87+L88</f>
        <v>0</v>
      </c>
      <c r="M89" s="126">
        <f t="shared" si="80"/>
        <v>0</v>
      </c>
      <c r="N89" s="126">
        <f t="shared" ref="N89:O89" si="83">N85+N86+N87+N88</f>
        <v>0</v>
      </c>
      <c r="O89" s="636">
        <f t="shared" si="83"/>
        <v>0</v>
      </c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8"/>
      <c r="BR89" s="68"/>
      <c r="BS89" s="68"/>
      <c r="BT89" s="68"/>
      <c r="BU89" s="68"/>
      <c r="BV89" s="68"/>
      <c r="BW89" s="68"/>
      <c r="BX89" s="68"/>
      <c r="BY89" s="68"/>
      <c r="BZ89" s="68"/>
      <c r="CA89" s="68"/>
      <c r="CB89" s="68"/>
      <c r="CC89" s="68"/>
      <c r="CD89" s="68"/>
      <c r="CE89" s="68"/>
    </row>
    <row r="90" spans="1:83" s="110" customFormat="1" ht="35.25" customHeight="1" thickBot="1" x14ac:dyDescent="0.3">
      <c r="A90" s="949" t="s">
        <v>187</v>
      </c>
      <c r="B90" s="949"/>
      <c r="C90" s="949"/>
      <c r="D90" s="949"/>
      <c r="E90" s="949"/>
      <c r="F90" s="949"/>
      <c r="G90" s="950"/>
      <c r="H90" s="950"/>
      <c r="I90" s="950"/>
      <c r="J90" s="950"/>
      <c r="K90" s="753"/>
      <c r="L90" s="753"/>
      <c r="M90" s="68"/>
      <c r="N90" s="68"/>
      <c r="O90" s="632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  <c r="BI90" s="68"/>
      <c r="BJ90" s="68"/>
      <c r="BK90" s="68"/>
      <c r="BL90" s="68"/>
      <c r="BM90" s="68"/>
      <c r="BN90" s="68"/>
      <c r="BO90" s="68"/>
      <c r="BP90" s="68"/>
      <c r="BQ90" s="68"/>
      <c r="BR90" s="68"/>
      <c r="BS90" s="68"/>
      <c r="BT90" s="68"/>
      <c r="BU90" s="68"/>
      <c r="BV90" s="68"/>
      <c r="BW90" s="68"/>
      <c r="BX90" s="68"/>
      <c r="BY90" s="68"/>
      <c r="BZ90" s="68"/>
      <c r="CA90" s="68"/>
      <c r="CB90" s="68"/>
      <c r="CC90" s="68"/>
      <c r="CD90" s="68"/>
      <c r="CE90" s="68"/>
    </row>
    <row r="91" spans="1:83" s="110" customFormat="1" x14ac:dyDescent="0.2">
      <c r="A91" s="125" t="s">
        <v>149</v>
      </c>
      <c r="B91" s="101" t="s">
        <v>183</v>
      </c>
      <c r="C91" s="124"/>
      <c r="D91" s="101">
        <f>ROUND(F91/F6,2)</f>
        <v>0</v>
      </c>
      <c r="E91" s="124"/>
      <c r="F91" s="123">
        <f>пр.4!F36</f>
        <v>0</v>
      </c>
      <c r="G91" s="101">
        <f>IF(G$6=0,0,D91)</f>
        <v>0</v>
      </c>
      <c r="H91" s="101">
        <f>IF(H$6=0,0,D91)</f>
        <v>0</v>
      </c>
      <c r="I91" s="101">
        <f>IF(I$6=0,0,D91)</f>
        <v>0</v>
      </c>
      <c r="J91" s="101">
        <f>IF(J$6=0,0,D91)</f>
        <v>0</v>
      </c>
      <c r="K91" s="101">
        <f>IF(K$6=0,0,E91)</f>
        <v>0</v>
      </c>
      <c r="L91" s="101">
        <f>IF(L$6=0,0,E91)</f>
        <v>0</v>
      </c>
      <c r="M91" s="101">
        <f>IF(M$6=0,0,E91)</f>
        <v>0</v>
      </c>
      <c r="N91" s="123"/>
      <c r="O91" s="639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  <c r="BH91" s="68"/>
      <c r="BI91" s="68"/>
      <c r="BJ91" s="68"/>
      <c r="BK91" s="68"/>
      <c r="BL91" s="68"/>
      <c r="BM91" s="68"/>
      <c r="BN91" s="68"/>
      <c r="BO91" s="68"/>
      <c r="BP91" s="68"/>
      <c r="BQ91" s="68"/>
      <c r="BR91" s="68"/>
      <c r="BS91" s="68"/>
      <c r="BT91" s="68"/>
      <c r="BU91" s="68"/>
      <c r="BV91" s="68"/>
      <c r="BW91" s="68"/>
      <c r="BX91" s="68"/>
      <c r="BY91" s="68"/>
      <c r="BZ91" s="68"/>
      <c r="CA91" s="68"/>
      <c r="CB91" s="68"/>
      <c r="CC91" s="68"/>
      <c r="CD91" s="68"/>
      <c r="CE91" s="68"/>
    </row>
    <row r="92" spans="1:83" s="115" customFormat="1" ht="13.5" thickBot="1" x14ac:dyDescent="0.25">
      <c r="A92" s="128" t="s">
        <v>182</v>
      </c>
      <c r="B92" s="127"/>
      <c r="C92" s="127"/>
      <c r="D92" s="126">
        <f>D91</f>
        <v>0</v>
      </c>
      <c r="E92" s="127"/>
      <c r="F92" s="126">
        <f t="shared" ref="F92:M92" si="84">F91</f>
        <v>0</v>
      </c>
      <c r="G92" s="126">
        <f t="shared" si="84"/>
        <v>0</v>
      </c>
      <c r="H92" s="126">
        <f t="shared" si="84"/>
        <v>0</v>
      </c>
      <c r="I92" s="126">
        <f t="shared" si="84"/>
        <v>0</v>
      </c>
      <c r="J92" s="126">
        <f t="shared" si="84"/>
        <v>0</v>
      </c>
      <c r="K92" s="126">
        <f t="shared" ref="K92" si="85">K91</f>
        <v>0</v>
      </c>
      <c r="L92" s="126">
        <f t="shared" ref="L92" si="86">L91</f>
        <v>0</v>
      </c>
      <c r="M92" s="126">
        <f t="shared" si="84"/>
        <v>0</v>
      </c>
      <c r="N92" s="126">
        <f t="shared" ref="N92:O92" si="87">N91</f>
        <v>0</v>
      </c>
      <c r="O92" s="636">
        <f t="shared" si="87"/>
        <v>0</v>
      </c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  <c r="BI92" s="68"/>
      <c r="BJ92" s="68"/>
      <c r="BK92" s="68"/>
      <c r="BL92" s="68"/>
      <c r="BM92" s="68"/>
      <c r="BN92" s="68"/>
      <c r="BO92" s="68"/>
      <c r="BP92" s="68"/>
      <c r="BQ92" s="68"/>
      <c r="BR92" s="68"/>
      <c r="BS92" s="68"/>
      <c r="BT92" s="68"/>
      <c r="BU92" s="68"/>
      <c r="BV92" s="68"/>
      <c r="BW92" s="68"/>
      <c r="BX92" s="68"/>
      <c r="BY92" s="68"/>
      <c r="BZ92" s="68"/>
      <c r="CA92" s="68"/>
      <c r="CB92" s="68"/>
      <c r="CC92" s="68"/>
      <c r="CD92" s="68"/>
      <c r="CE92" s="68"/>
    </row>
    <row r="93" spans="1:83" s="110" customFormat="1" ht="20.25" customHeight="1" thickBot="1" x14ac:dyDescent="0.3">
      <c r="A93" s="949" t="s">
        <v>186</v>
      </c>
      <c r="B93" s="949"/>
      <c r="C93" s="949"/>
      <c r="D93" s="949"/>
      <c r="E93" s="949"/>
      <c r="F93" s="949"/>
      <c r="G93" s="950"/>
      <c r="H93" s="950"/>
      <c r="I93" s="950"/>
      <c r="J93" s="950"/>
      <c r="K93" s="753"/>
      <c r="L93" s="753"/>
      <c r="M93" s="68"/>
      <c r="N93" s="68"/>
      <c r="O93" s="632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8"/>
      <c r="BI93" s="68"/>
      <c r="BJ93" s="68"/>
      <c r="BK93" s="68"/>
      <c r="BL93" s="68"/>
      <c r="BM93" s="68"/>
      <c r="BN93" s="68"/>
      <c r="BO93" s="68"/>
      <c r="BP93" s="68"/>
      <c r="BQ93" s="68"/>
      <c r="BR93" s="68"/>
      <c r="BS93" s="68"/>
      <c r="BT93" s="68"/>
      <c r="BU93" s="68"/>
      <c r="BV93" s="68"/>
      <c r="BW93" s="68"/>
      <c r="BX93" s="68"/>
      <c r="BY93" s="68"/>
      <c r="BZ93" s="68"/>
      <c r="CA93" s="68"/>
      <c r="CB93" s="68"/>
      <c r="CC93" s="68"/>
      <c r="CD93" s="68"/>
      <c r="CE93" s="68"/>
    </row>
    <row r="94" spans="1:83" s="110" customFormat="1" x14ac:dyDescent="0.2">
      <c r="A94" s="125"/>
      <c r="B94" s="101" t="s">
        <v>183</v>
      </c>
      <c r="C94" s="124"/>
      <c r="D94" s="101">
        <f>ROUND(F94/F6,2)</f>
        <v>0</v>
      </c>
      <c r="E94" s="124"/>
      <c r="F94" s="123">
        <f>пр.4!F43</f>
        <v>0</v>
      </c>
      <c r="G94" s="101">
        <f>IF(G$6=0,0,D94)</f>
        <v>0</v>
      </c>
      <c r="H94" s="101">
        <f>IF(H$6=0,0,D94)</f>
        <v>0</v>
      </c>
      <c r="I94" s="101">
        <f>IF(I$6=0,0,D94)</f>
        <v>0</v>
      </c>
      <c r="J94" s="101">
        <f>IF(J$6=0,0,D94)</f>
        <v>0</v>
      </c>
      <c r="K94" s="101">
        <f>IF(K$6=0,0,E94)</f>
        <v>0</v>
      </c>
      <c r="L94" s="101">
        <f>IF(L$6=0,0,E94)</f>
        <v>0</v>
      </c>
      <c r="M94" s="101">
        <f>IF(M$6=0,0,E94)</f>
        <v>0</v>
      </c>
      <c r="N94" s="123"/>
      <c r="O94" s="639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  <c r="BH94" s="68"/>
      <c r="BI94" s="68"/>
      <c r="BJ94" s="68"/>
      <c r="BK94" s="68"/>
      <c r="BL94" s="68"/>
      <c r="BM94" s="68"/>
      <c r="BN94" s="68"/>
      <c r="BO94" s="68"/>
      <c r="BP94" s="68"/>
      <c r="BQ94" s="68"/>
      <c r="BR94" s="68"/>
      <c r="BS94" s="68"/>
      <c r="BT94" s="68"/>
      <c r="BU94" s="68"/>
      <c r="BV94" s="68"/>
      <c r="BW94" s="68"/>
      <c r="BX94" s="68"/>
      <c r="BY94" s="68"/>
      <c r="BZ94" s="68"/>
      <c r="CA94" s="68"/>
      <c r="CB94" s="68"/>
      <c r="CC94" s="68"/>
      <c r="CD94" s="68"/>
      <c r="CE94" s="68"/>
    </row>
    <row r="95" spans="1:83" s="110" customFormat="1" ht="13.5" thickBot="1" x14ac:dyDescent="0.25">
      <c r="A95" s="122"/>
      <c r="B95" s="121" t="s">
        <v>183</v>
      </c>
      <c r="C95" s="119"/>
      <c r="D95" s="120">
        <f>ROUND(F95/F6,2)</f>
        <v>0</v>
      </c>
      <c r="E95" s="119"/>
      <c r="F95" s="118">
        <f>пр.4!F44</f>
        <v>0</v>
      </c>
      <c r="G95" s="120">
        <f>IF(G$6=0,0,D95)</f>
        <v>0</v>
      </c>
      <c r="H95" s="120">
        <f>IF(H$6=0,0,D95)</f>
        <v>0</v>
      </c>
      <c r="I95" s="120">
        <f>IF(I$6=0,0,D95)</f>
        <v>0</v>
      </c>
      <c r="J95" s="120">
        <f>IF(J$6=0,0,D95)</f>
        <v>0</v>
      </c>
      <c r="K95" s="120">
        <f>IF(K$6=0,0,E95)</f>
        <v>0</v>
      </c>
      <c r="L95" s="120">
        <f>IF(L$6=0,0,E95)</f>
        <v>0</v>
      </c>
      <c r="M95" s="120">
        <f>IF(M$6=0,0,E95)</f>
        <v>0</v>
      </c>
      <c r="N95" s="118"/>
      <c r="O95" s="641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  <c r="BF95" s="68"/>
      <c r="BG95" s="68"/>
      <c r="BH95" s="68"/>
      <c r="BI95" s="68"/>
      <c r="BJ95" s="68"/>
      <c r="BK95" s="68"/>
      <c r="BL95" s="68"/>
      <c r="BM95" s="68"/>
      <c r="BN95" s="68"/>
      <c r="BO95" s="68"/>
      <c r="BP95" s="68"/>
      <c r="BQ95" s="68"/>
      <c r="BR95" s="68"/>
      <c r="BS95" s="68"/>
      <c r="BT95" s="68"/>
      <c r="BU95" s="68"/>
      <c r="BV95" s="68"/>
      <c r="BW95" s="68"/>
      <c r="BX95" s="68"/>
      <c r="BY95" s="68"/>
      <c r="BZ95" s="68"/>
      <c r="CA95" s="68"/>
      <c r="CB95" s="68"/>
      <c r="CC95" s="68"/>
      <c r="CD95" s="68"/>
      <c r="CE95" s="68"/>
    </row>
    <row r="96" spans="1:83" s="115" customFormat="1" x14ac:dyDescent="0.2">
      <c r="A96" s="117" t="s">
        <v>182</v>
      </c>
      <c r="B96" s="117"/>
      <c r="C96" s="117"/>
      <c r="D96" s="116">
        <f>D94+D95</f>
        <v>0</v>
      </c>
      <c r="E96" s="117"/>
      <c r="F96" s="116">
        <f t="shared" ref="F96:M96" si="88">F94+F95</f>
        <v>0</v>
      </c>
      <c r="G96" s="116">
        <f t="shared" si="88"/>
        <v>0</v>
      </c>
      <c r="H96" s="116">
        <f t="shared" si="88"/>
        <v>0</v>
      </c>
      <c r="I96" s="116">
        <f t="shared" si="88"/>
        <v>0</v>
      </c>
      <c r="J96" s="116">
        <f t="shared" si="88"/>
        <v>0</v>
      </c>
      <c r="K96" s="116">
        <f t="shared" ref="K96" si="89">K94+K95</f>
        <v>0</v>
      </c>
      <c r="L96" s="116">
        <f t="shared" ref="L96" si="90">L94+L95</f>
        <v>0</v>
      </c>
      <c r="M96" s="116">
        <f t="shared" si="88"/>
        <v>0</v>
      </c>
      <c r="N96" s="116">
        <f t="shared" ref="N96:O96" si="91">N94+N95</f>
        <v>0</v>
      </c>
      <c r="O96" s="642">
        <f t="shared" si="91"/>
        <v>0</v>
      </c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  <c r="BI96" s="68"/>
      <c r="BJ96" s="68"/>
      <c r="BK96" s="68"/>
      <c r="BL96" s="68"/>
      <c r="BM96" s="68"/>
      <c r="BN96" s="68"/>
      <c r="BO96" s="68"/>
      <c r="BP96" s="68"/>
      <c r="BQ96" s="68"/>
      <c r="BR96" s="68"/>
      <c r="BS96" s="68"/>
      <c r="BT96" s="68"/>
      <c r="BU96" s="68"/>
      <c r="BV96" s="68"/>
      <c r="BW96" s="68"/>
      <c r="BX96" s="68"/>
      <c r="BY96" s="68"/>
      <c r="BZ96" s="68"/>
      <c r="CA96" s="68"/>
      <c r="CB96" s="68"/>
      <c r="CC96" s="68"/>
      <c r="CD96" s="68"/>
      <c r="CE96" s="68"/>
    </row>
    <row r="97" spans="1:83" s="110" customFormat="1" ht="16.5" thickBot="1" x14ac:dyDescent="0.3">
      <c r="A97" s="951" t="s">
        <v>185</v>
      </c>
      <c r="B97" s="952"/>
      <c r="C97" s="952"/>
      <c r="D97" s="952"/>
      <c r="E97" s="952"/>
      <c r="F97" s="952"/>
      <c r="G97" s="953"/>
      <c r="H97" s="953"/>
      <c r="I97" s="953"/>
      <c r="J97" s="953"/>
      <c r="K97" s="753"/>
      <c r="L97" s="753"/>
      <c r="M97" s="68"/>
      <c r="N97" s="68"/>
      <c r="O97" s="632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  <c r="BH97" s="68"/>
      <c r="BI97" s="68"/>
      <c r="BJ97" s="68"/>
      <c r="BK97" s="68"/>
      <c r="BL97" s="68"/>
      <c r="BM97" s="68"/>
      <c r="BN97" s="68"/>
      <c r="BO97" s="68"/>
      <c r="BP97" s="68"/>
      <c r="BQ97" s="68"/>
      <c r="BR97" s="68"/>
      <c r="BS97" s="68"/>
      <c r="BT97" s="68"/>
      <c r="BU97" s="68"/>
      <c r="BV97" s="68"/>
      <c r="BW97" s="68"/>
      <c r="BX97" s="68"/>
      <c r="BY97" s="68"/>
      <c r="BZ97" s="68"/>
      <c r="CA97" s="68"/>
      <c r="CB97" s="68"/>
      <c r="CC97" s="68"/>
      <c r="CD97" s="68"/>
      <c r="CE97" s="68"/>
    </row>
    <row r="98" spans="1:83" s="110" customFormat="1" x14ac:dyDescent="0.2">
      <c r="A98" s="25" t="s">
        <v>273</v>
      </c>
      <c r="B98" s="101" t="s">
        <v>183</v>
      </c>
      <c r="C98" s="101">
        <v>12</v>
      </c>
      <c r="D98" s="102">
        <f>ROUND(F98/F6,2)</f>
        <v>27.96</v>
      </c>
      <c r="E98" s="101"/>
      <c r="F98" s="100">
        <f>пр.5!H6+пр.5!H7+пр.5!H8</f>
        <v>14429.279999999999</v>
      </c>
      <c r="G98" s="102">
        <f t="shared" ref="G98:G103" si="92">IF(G$6=0,0,D98)</f>
        <v>27.96</v>
      </c>
      <c r="H98" s="102">
        <f t="shared" ref="H98:H103" si="93">IF(H$6=0,0,D98)</f>
        <v>27.96</v>
      </c>
      <c r="I98" s="102">
        <f t="shared" ref="I98:I103" si="94">IF(I$6=0,0,D98)</f>
        <v>27.96</v>
      </c>
      <c r="J98" s="102">
        <f t="shared" ref="J98:K103" si="95">IF(J$6=0,0,D98)</f>
        <v>27.96</v>
      </c>
      <c r="K98" s="102">
        <f t="shared" si="95"/>
        <v>0</v>
      </c>
      <c r="L98" s="102">
        <f t="shared" ref="L98:L103" si="96">IF(L$6=0,0,E98)</f>
        <v>0</v>
      </c>
      <c r="M98" s="102">
        <f t="shared" ref="M98:M103" si="97">IF(M$6=0,0,E98)</f>
        <v>0</v>
      </c>
      <c r="N98" s="100">
        <f>'прил.5 фок'!I6+'прил.5 фок'!I7</f>
        <v>0</v>
      </c>
      <c r="O98" s="635" t="e">
        <f t="shared" ref="O98:O103" si="98">ROUND(N98/$O$6,5)</f>
        <v>#DIV/0!</v>
      </c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  <c r="BI98" s="68"/>
      <c r="BJ98" s="68"/>
      <c r="BK98" s="68"/>
      <c r="BL98" s="68"/>
      <c r="BM98" s="68"/>
      <c r="BN98" s="68"/>
      <c r="BO98" s="68"/>
      <c r="BP98" s="68"/>
      <c r="BQ98" s="68"/>
      <c r="BR98" s="68"/>
      <c r="BS98" s="68"/>
      <c r="BT98" s="68"/>
      <c r="BU98" s="68"/>
      <c r="BV98" s="68"/>
      <c r="BW98" s="68"/>
      <c r="BX98" s="68"/>
      <c r="BY98" s="68"/>
      <c r="BZ98" s="68"/>
      <c r="CA98" s="68"/>
      <c r="CB98" s="68"/>
      <c r="CC98" s="68"/>
      <c r="CD98" s="68"/>
      <c r="CE98" s="68"/>
    </row>
    <row r="99" spans="1:83" s="110" customFormat="1" x14ac:dyDescent="0.2">
      <c r="A99" s="22" t="s">
        <v>274</v>
      </c>
      <c r="B99" s="96" t="s">
        <v>183</v>
      </c>
      <c r="C99" s="96">
        <v>12</v>
      </c>
      <c r="D99" s="97">
        <f>ROUND(F99/F6,2)</f>
        <v>18.38</v>
      </c>
      <c r="E99" s="96"/>
      <c r="F99" s="95">
        <f>пр.5!H9+пр.5!H11+пр.5!H10</f>
        <v>9483.76</v>
      </c>
      <c r="G99" s="97">
        <f t="shared" si="92"/>
        <v>18.38</v>
      </c>
      <c r="H99" s="97">
        <f t="shared" si="93"/>
        <v>18.38</v>
      </c>
      <c r="I99" s="97">
        <f t="shared" si="94"/>
        <v>18.38</v>
      </c>
      <c r="J99" s="97">
        <f t="shared" si="95"/>
        <v>18.38</v>
      </c>
      <c r="K99" s="97">
        <f t="shared" si="95"/>
        <v>0</v>
      </c>
      <c r="L99" s="97">
        <f t="shared" si="96"/>
        <v>0</v>
      </c>
      <c r="M99" s="97">
        <f t="shared" si="97"/>
        <v>0</v>
      </c>
      <c r="N99" s="95">
        <f>'прил.5 фок'!I8+'прил.5 фок'!I9</f>
        <v>0</v>
      </c>
      <c r="O99" s="635" t="e">
        <f t="shared" si="98"/>
        <v>#DIV/0!</v>
      </c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8"/>
      <c r="BH99" s="68"/>
      <c r="BI99" s="68"/>
      <c r="BJ99" s="68"/>
      <c r="BK99" s="68"/>
      <c r="BL99" s="68"/>
      <c r="BM99" s="68"/>
      <c r="BN99" s="68"/>
      <c r="BO99" s="68"/>
      <c r="BP99" s="68"/>
      <c r="BQ99" s="68"/>
      <c r="BR99" s="68"/>
      <c r="BS99" s="68"/>
      <c r="BT99" s="68"/>
      <c r="BU99" s="68"/>
      <c r="BV99" s="68"/>
      <c r="BW99" s="68"/>
      <c r="BX99" s="68"/>
      <c r="BY99" s="68"/>
      <c r="BZ99" s="68"/>
      <c r="CA99" s="68"/>
      <c r="CB99" s="68"/>
      <c r="CC99" s="68"/>
      <c r="CD99" s="68"/>
      <c r="CE99" s="68"/>
    </row>
    <row r="100" spans="1:83" s="110" customFormat="1" x14ac:dyDescent="0.2">
      <c r="A100" s="32" t="s">
        <v>169</v>
      </c>
      <c r="B100" s="96" t="s">
        <v>183</v>
      </c>
      <c r="C100" s="96">
        <v>12</v>
      </c>
      <c r="D100" s="97">
        <f>ROUND(F100/F6,2)</f>
        <v>0</v>
      </c>
      <c r="E100" s="96"/>
      <c r="F100" s="95">
        <f>пр.5!H12+пр.5!H13+пр.5!H14+пр.5!H15+пр.5!H16+пр.5!H17</f>
        <v>0</v>
      </c>
      <c r="G100" s="97">
        <f t="shared" si="92"/>
        <v>0</v>
      </c>
      <c r="H100" s="97">
        <f t="shared" si="93"/>
        <v>0</v>
      </c>
      <c r="I100" s="97">
        <f t="shared" si="94"/>
        <v>0</v>
      </c>
      <c r="J100" s="97">
        <f t="shared" si="95"/>
        <v>0</v>
      </c>
      <c r="K100" s="97">
        <f t="shared" si="95"/>
        <v>0</v>
      </c>
      <c r="L100" s="97">
        <f t="shared" si="96"/>
        <v>0</v>
      </c>
      <c r="M100" s="97">
        <f t="shared" si="97"/>
        <v>0</v>
      </c>
      <c r="N100" s="95">
        <f>'прил.5 фок'!I15+'прил.5 фок'!I14+'прил.5 фок'!I13+'прил.5 фок'!I12+'прил.5 фок'!I11+'прил.5 фок'!I10</f>
        <v>0</v>
      </c>
      <c r="O100" s="635" t="e">
        <f t="shared" si="98"/>
        <v>#DIV/0!</v>
      </c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  <c r="BI100" s="68"/>
      <c r="BJ100" s="68"/>
      <c r="BK100" s="68"/>
      <c r="BL100" s="68"/>
      <c r="BM100" s="68"/>
      <c r="BN100" s="68"/>
      <c r="BO100" s="68"/>
      <c r="BP100" s="68"/>
      <c r="BQ100" s="68"/>
      <c r="BR100" s="68"/>
      <c r="BS100" s="68"/>
      <c r="BT100" s="68"/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</row>
    <row r="101" spans="1:83" s="110" customFormat="1" x14ac:dyDescent="0.2">
      <c r="A101" s="32" t="s">
        <v>275</v>
      </c>
      <c r="B101" s="96" t="s">
        <v>183</v>
      </c>
      <c r="C101" s="96">
        <v>12</v>
      </c>
      <c r="D101" s="97">
        <f>ROUND(F101/F6,2)</f>
        <v>1510.7</v>
      </c>
      <c r="E101" s="96"/>
      <c r="F101" s="95">
        <f>пр.5!H18+пр.5!H19+пр.5!H20</f>
        <v>779521.1</v>
      </c>
      <c r="G101" s="97">
        <f t="shared" si="92"/>
        <v>1510.7</v>
      </c>
      <c r="H101" s="97">
        <f t="shared" si="93"/>
        <v>1510.7</v>
      </c>
      <c r="I101" s="97">
        <f t="shared" si="94"/>
        <v>1510.7</v>
      </c>
      <c r="J101" s="97">
        <f t="shared" si="95"/>
        <v>1510.7</v>
      </c>
      <c r="K101" s="97">
        <f t="shared" si="95"/>
        <v>0</v>
      </c>
      <c r="L101" s="97">
        <f t="shared" si="96"/>
        <v>0</v>
      </c>
      <c r="M101" s="97">
        <f t="shared" si="97"/>
        <v>0</v>
      </c>
      <c r="N101" s="95">
        <f>'прил.5 фок'!I16+'прил.5 фок'!I17+'прил.5 фок'!I18+++++'прил.5 фок'!I19</f>
        <v>0</v>
      </c>
      <c r="O101" s="635" t="e">
        <f t="shared" si="98"/>
        <v>#DIV/0!</v>
      </c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8"/>
      <c r="BH101" s="68"/>
      <c r="BI101" s="68"/>
      <c r="BJ101" s="68"/>
      <c r="BK101" s="68"/>
      <c r="BL101" s="68"/>
      <c r="BM101" s="68"/>
      <c r="BN101" s="68"/>
      <c r="BO101" s="68"/>
      <c r="BP101" s="68"/>
      <c r="BQ101" s="68"/>
      <c r="BR101" s="68"/>
      <c r="BS101" s="68"/>
      <c r="BT101" s="68"/>
      <c r="BU101" s="68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</row>
    <row r="102" spans="1:83" s="110" customFormat="1" x14ac:dyDescent="0.2">
      <c r="A102" s="32" t="s">
        <v>276</v>
      </c>
      <c r="B102" s="96" t="s">
        <v>183</v>
      </c>
      <c r="C102" s="96">
        <v>12</v>
      </c>
      <c r="D102" s="97">
        <f>ROUND(F102/F6,2)</f>
        <v>188.91</v>
      </c>
      <c r="E102" s="96"/>
      <c r="F102" s="95">
        <f>пр.5!H21+пр.5!H22</f>
        <v>97475.86</v>
      </c>
      <c r="G102" s="97">
        <f t="shared" si="92"/>
        <v>188.91</v>
      </c>
      <c r="H102" s="97">
        <f t="shared" si="93"/>
        <v>188.91</v>
      </c>
      <c r="I102" s="97">
        <f t="shared" si="94"/>
        <v>188.91</v>
      </c>
      <c r="J102" s="97">
        <f t="shared" si="95"/>
        <v>188.91</v>
      </c>
      <c r="K102" s="97">
        <f t="shared" si="95"/>
        <v>0</v>
      </c>
      <c r="L102" s="97">
        <f t="shared" si="96"/>
        <v>0</v>
      </c>
      <c r="M102" s="97">
        <f t="shared" si="97"/>
        <v>0</v>
      </c>
      <c r="N102" s="95">
        <f>'прил.5 фок'!I20+'прил.5 фок'!I21</f>
        <v>0</v>
      </c>
      <c r="O102" s="635" t="e">
        <f t="shared" si="98"/>
        <v>#DIV/0!</v>
      </c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8"/>
      <c r="BC102" s="68"/>
      <c r="BD102" s="68"/>
      <c r="BE102" s="68"/>
      <c r="BF102" s="68"/>
      <c r="BG102" s="68"/>
      <c r="BH102" s="68"/>
      <c r="BI102" s="68"/>
      <c r="BJ102" s="68"/>
      <c r="BK102" s="68"/>
      <c r="BL102" s="68"/>
      <c r="BM102" s="68"/>
      <c r="BN102" s="68"/>
      <c r="BO102" s="68"/>
      <c r="BP102" s="68"/>
      <c r="BQ102" s="68"/>
      <c r="BR102" s="68"/>
      <c r="BS102" s="68"/>
      <c r="BT102" s="68"/>
      <c r="BU102" s="68"/>
      <c r="BV102" s="68"/>
      <c r="BW102" s="68"/>
      <c r="BX102" s="68"/>
      <c r="BY102" s="68"/>
      <c r="BZ102" s="68"/>
      <c r="CA102" s="68"/>
      <c r="CB102" s="68"/>
      <c r="CC102" s="68"/>
      <c r="CD102" s="68"/>
      <c r="CE102" s="68"/>
    </row>
    <row r="103" spans="1:83" s="110" customFormat="1" ht="12.75" customHeight="1" x14ac:dyDescent="0.2">
      <c r="A103" s="692"/>
      <c r="B103" s="96" t="s">
        <v>183</v>
      </c>
      <c r="C103" s="96">
        <v>12</v>
      </c>
      <c r="D103" s="97">
        <f>ROUND(F103/F6,2)</f>
        <v>0</v>
      </c>
      <c r="E103" s="96"/>
      <c r="F103" s="95">
        <f>пр.5!H23+пр.5!H24</f>
        <v>0</v>
      </c>
      <c r="G103" s="97">
        <f t="shared" si="92"/>
        <v>0</v>
      </c>
      <c r="H103" s="97">
        <f t="shared" si="93"/>
        <v>0</v>
      </c>
      <c r="I103" s="97">
        <f t="shared" si="94"/>
        <v>0</v>
      </c>
      <c r="J103" s="97">
        <f t="shared" si="95"/>
        <v>0</v>
      </c>
      <c r="K103" s="97">
        <f t="shared" si="95"/>
        <v>0</v>
      </c>
      <c r="L103" s="97">
        <f t="shared" si="96"/>
        <v>0</v>
      </c>
      <c r="M103" s="97">
        <f t="shared" si="97"/>
        <v>0</v>
      </c>
      <c r="N103" s="95">
        <f>'прил.5 фок'!I22</f>
        <v>0</v>
      </c>
      <c r="O103" s="635" t="e">
        <f t="shared" si="98"/>
        <v>#DIV/0!</v>
      </c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/>
      <c r="BD103" s="68"/>
      <c r="BE103" s="68"/>
      <c r="BF103" s="68"/>
      <c r="BG103" s="68"/>
      <c r="BH103" s="68"/>
      <c r="BI103" s="68"/>
      <c r="BJ103" s="68"/>
      <c r="BK103" s="68"/>
      <c r="BL103" s="68"/>
      <c r="BM103" s="68"/>
      <c r="BN103" s="68"/>
      <c r="BO103" s="68"/>
      <c r="BP103" s="68"/>
      <c r="BQ103" s="68"/>
      <c r="BR103" s="68"/>
      <c r="BS103" s="68"/>
      <c r="BT103" s="68"/>
      <c r="BU103" s="68"/>
      <c r="BV103" s="68"/>
      <c r="BW103" s="68"/>
      <c r="BX103" s="68"/>
      <c r="BY103" s="68"/>
      <c r="BZ103" s="68"/>
      <c r="CA103" s="68"/>
      <c r="CB103" s="68"/>
      <c r="CC103" s="68"/>
      <c r="CD103" s="68"/>
      <c r="CE103" s="68"/>
    </row>
    <row r="104" spans="1:83" s="110" customFormat="1" ht="13.5" thickBot="1" x14ac:dyDescent="0.25">
      <c r="A104" s="114" t="s">
        <v>182</v>
      </c>
      <c r="B104" s="113"/>
      <c r="C104" s="113"/>
      <c r="D104" s="111">
        <f>SUM(D98:D103)</f>
        <v>1745.95</v>
      </c>
      <c r="E104" s="112"/>
      <c r="F104" s="111">
        <f t="shared" ref="F104:M104" si="99">SUM(F98:F103)</f>
        <v>900910</v>
      </c>
      <c r="G104" s="111">
        <f t="shared" si="99"/>
        <v>1745.95</v>
      </c>
      <c r="H104" s="111">
        <f t="shared" si="99"/>
        <v>1745.95</v>
      </c>
      <c r="I104" s="111">
        <f t="shared" si="99"/>
        <v>1745.95</v>
      </c>
      <c r="J104" s="111">
        <f t="shared" si="99"/>
        <v>1745.95</v>
      </c>
      <c r="K104" s="111">
        <f t="shared" ref="K104" si="100">SUM(K98:K103)</f>
        <v>0</v>
      </c>
      <c r="L104" s="111">
        <f t="shared" ref="L104" si="101">SUM(L98:L103)</f>
        <v>0</v>
      </c>
      <c r="M104" s="111">
        <f t="shared" si="99"/>
        <v>0</v>
      </c>
      <c r="N104" s="111">
        <f t="shared" ref="N104:O104" si="102">SUM(N98:N103)</f>
        <v>0</v>
      </c>
      <c r="O104" s="643" t="e">
        <f t="shared" si="102"/>
        <v>#DIV/0!</v>
      </c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  <c r="AT104" s="68"/>
      <c r="AU104" s="68"/>
      <c r="AV104" s="68"/>
      <c r="AW104" s="68"/>
      <c r="AX104" s="68"/>
      <c r="AY104" s="68"/>
      <c r="AZ104" s="68"/>
      <c r="BA104" s="68"/>
      <c r="BB104" s="68"/>
      <c r="BC104" s="68"/>
      <c r="BD104" s="68"/>
      <c r="BE104" s="68"/>
      <c r="BF104" s="68"/>
      <c r="BG104" s="68"/>
      <c r="BH104" s="68"/>
      <c r="BI104" s="68"/>
      <c r="BJ104" s="68"/>
      <c r="BK104" s="68"/>
      <c r="BL104" s="68"/>
      <c r="BM104" s="68"/>
      <c r="BN104" s="68"/>
      <c r="BO104" s="68"/>
      <c r="BP104" s="68"/>
      <c r="BQ104" s="68"/>
      <c r="BR104" s="68"/>
      <c r="BS104" s="68"/>
      <c r="BT104" s="68"/>
      <c r="BU104" s="68"/>
      <c r="BV104" s="68"/>
      <c r="BW104" s="68"/>
      <c r="BX104" s="68"/>
      <c r="BY104" s="68"/>
      <c r="BZ104" s="68"/>
      <c r="CA104" s="68"/>
      <c r="CB104" s="68"/>
      <c r="CC104" s="68"/>
      <c r="CD104" s="68"/>
      <c r="CE104" s="68"/>
    </row>
    <row r="105" spans="1:83" s="105" customFormat="1" ht="26.25" thickBot="1" x14ac:dyDescent="0.25">
      <c r="A105" s="109" t="s">
        <v>184</v>
      </c>
      <c r="B105" s="107"/>
      <c r="C105" s="107"/>
      <c r="D105" s="108">
        <f>D104+D96+D92+D89+D83+D78+D67+D63+D32</f>
        <v>14362.369999999999</v>
      </c>
      <c r="E105" s="107"/>
      <c r="F105" s="106">
        <f t="shared" ref="F105:M105" si="103">F104+F96+F92+F89+F83+F78+F67+F63+F32</f>
        <v>7410987.5199999996</v>
      </c>
      <c r="G105" s="108">
        <f t="shared" si="103"/>
        <v>14362.369999999999</v>
      </c>
      <c r="H105" s="108">
        <f t="shared" si="103"/>
        <v>14362.369999999999</v>
      </c>
      <c r="I105" s="108">
        <f t="shared" si="103"/>
        <v>14362.369999999999</v>
      </c>
      <c r="J105" s="108">
        <f t="shared" si="103"/>
        <v>14362.369999999999</v>
      </c>
      <c r="K105" s="108">
        <f t="shared" ref="K105" si="104">K104+K96+K92+K89+K83+K78+K67+K63+K32</f>
        <v>0</v>
      </c>
      <c r="L105" s="108">
        <f t="shared" ref="L105" si="105">L104+L96+L92+L89+L83+L78+L67+L63+L32</f>
        <v>0</v>
      </c>
      <c r="M105" s="108">
        <f t="shared" si="103"/>
        <v>0</v>
      </c>
      <c r="N105" s="106">
        <f t="shared" ref="N105:O105" si="106">N104+N96+N92+N89+N83+N78+N67+N63+N32</f>
        <v>0</v>
      </c>
      <c r="O105" s="644" t="e">
        <f t="shared" si="106"/>
        <v>#DIV/0!</v>
      </c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  <c r="BC105" s="68"/>
      <c r="BD105" s="68"/>
      <c r="BE105" s="68"/>
      <c r="BF105" s="68"/>
      <c r="BG105" s="68"/>
      <c r="BH105" s="68"/>
      <c r="BI105" s="68"/>
      <c r="BJ105" s="68"/>
      <c r="BK105" s="68"/>
      <c r="BL105" s="68"/>
      <c r="BM105" s="68"/>
      <c r="BN105" s="68"/>
      <c r="BO105" s="68"/>
      <c r="BP105" s="68"/>
      <c r="BQ105" s="68"/>
      <c r="BR105" s="68"/>
      <c r="BS105" s="68"/>
      <c r="BT105" s="68"/>
      <c r="BU105" s="68"/>
      <c r="BV105" s="68"/>
      <c r="BW105" s="68"/>
      <c r="BX105" s="68"/>
      <c r="BY105" s="68"/>
      <c r="BZ105" s="68"/>
      <c r="CA105" s="68"/>
      <c r="CB105" s="68"/>
      <c r="CC105" s="68"/>
      <c r="CD105" s="68"/>
      <c r="CE105" s="68"/>
    </row>
    <row r="106" spans="1:83" ht="22.5" customHeight="1" thickBot="1" x14ac:dyDescent="0.3">
      <c r="A106" s="946" t="s">
        <v>277</v>
      </c>
      <c r="B106" s="947"/>
      <c r="C106" s="947"/>
      <c r="D106" s="947"/>
      <c r="E106" s="947"/>
      <c r="F106" s="947"/>
      <c r="G106" s="948"/>
      <c r="H106" s="948"/>
      <c r="I106" s="948"/>
      <c r="J106" s="948"/>
      <c r="K106" s="754"/>
      <c r="L106" s="754"/>
      <c r="N106" s="68"/>
      <c r="O106" s="632"/>
    </row>
    <row r="107" spans="1:83" ht="15.6" customHeight="1" x14ac:dyDescent="0.2">
      <c r="A107" s="104" t="str">
        <f>пр.6!A6</f>
        <v>Налог на имущество</v>
      </c>
      <c r="B107" s="101" t="s">
        <v>183</v>
      </c>
      <c r="C107" s="103">
        <v>2.1999999999999999E-2</v>
      </c>
      <c r="D107" s="102">
        <f>ROUND(F107/F6,2)</f>
        <v>127.89</v>
      </c>
      <c r="E107" s="101"/>
      <c r="F107" s="100">
        <f>пр.6!D6</f>
        <v>65993</v>
      </c>
      <c r="G107" s="102">
        <f t="shared" ref="G107:G114" si="107">IF(G$6=0,0,D107)</f>
        <v>127.89</v>
      </c>
      <c r="H107" s="102">
        <f t="shared" ref="H107:H114" si="108">IF(H$6=0,0,D107)</f>
        <v>127.89</v>
      </c>
      <c r="I107" s="102">
        <f t="shared" ref="I107:I114" si="109">IF(I$6=0,0,D107)</f>
        <v>127.89</v>
      </c>
      <c r="J107" s="102">
        <f>IF(J$6=0,0,D107)</f>
        <v>127.89</v>
      </c>
      <c r="K107" s="102">
        <f>IF(K$6=0,0,E107)</f>
        <v>0</v>
      </c>
      <c r="L107" s="102">
        <f t="shared" ref="L107:L114" si="110">IF(L$6=0,0,E107)</f>
        <v>0</v>
      </c>
      <c r="M107" s="102">
        <f t="shared" ref="M107:M114" si="111">IF(M$6=0,0,E107)</f>
        <v>0</v>
      </c>
      <c r="N107" s="100">
        <f>'прил.6 фок'!D6</f>
        <v>0</v>
      </c>
      <c r="O107" s="635" t="e">
        <f t="shared" ref="O107:O114" si="112">ROUND(N107/$O$6,5)</f>
        <v>#DIV/0!</v>
      </c>
    </row>
    <row r="108" spans="1:83" ht="15.6" customHeight="1" x14ac:dyDescent="0.2">
      <c r="A108" s="99" t="str">
        <f>пр.6!A7</f>
        <v>Земельный налог</v>
      </c>
      <c r="B108" s="96" t="s">
        <v>183</v>
      </c>
      <c r="C108" s="98">
        <v>1.4999999999999999E-2</v>
      </c>
      <c r="D108" s="97">
        <f>ROUND(F108/F6,2)</f>
        <v>890.84</v>
      </c>
      <c r="E108" s="96"/>
      <c r="F108" s="95">
        <f>пр.6!D7</f>
        <v>459676</v>
      </c>
      <c r="G108" s="97">
        <f t="shared" si="107"/>
        <v>890.84</v>
      </c>
      <c r="H108" s="97">
        <f t="shared" si="108"/>
        <v>890.84</v>
      </c>
      <c r="I108" s="97">
        <f t="shared" si="109"/>
        <v>890.84</v>
      </c>
      <c r="J108" s="97">
        <f t="shared" ref="J108:K114" si="113">IF(J$6=0,0,D108)</f>
        <v>890.84</v>
      </c>
      <c r="K108" s="97">
        <f t="shared" si="113"/>
        <v>0</v>
      </c>
      <c r="L108" s="97">
        <f t="shared" si="110"/>
        <v>0</v>
      </c>
      <c r="M108" s="97">
        <f t="shared" si="111"/>
        <v>0</v>
      </c>
      <c r="N108" s="95">
        <f>'прил.6 фок'!D7+'прил.6 фок'!D8</f>
        <v>0</v>
      </c>
      <c r="O108" s="635" t="e">
        <f t="shared" si="112"/>
        <v>#DIV/0!</v>
      </c>
    </row>
    <row r="109" spans="1:83" ht="0.6" customHeight="1" x14ac:dyDescent="0.2">
      <c r="A109" s="99" t="str">
        <f>пр.6!A10</f>
        <v>Транспортный налог</v>
      </c>
      <c r="B109" s="96" t="s">
        <v>183</v>
      </c>
      <c r="C109" s="98"/>
      <c r="D109" s="97">
        <f>ROUND(F109/F6,2)</f>
        <v>0</v>
      </c>
      <c r="E109" s="96"/>
      <c r="F109" s="95">
        <f>пр.6!D10</f>
        <v>0</v>
      </c>
      <c r="G109" s="97">
        <f t="shared" si="107"/>
        <v>0</v>
      </c>
      <c r="H109" s="97">
        <f t="shared" si="108"/>
        <v>0</v>
      </c>
      <c r="I109" s="97">
        <f t="shared" si="109"/>
        <v>0</v>
      </c>
      <c r="J109" s="97">
        <f t="shared" si="113"/>
        <v>0</v>
      </c>
      <c r="K109" s="97">
        <f t="shared" si="113"/>
        <v>0</v>
      </c>
      <c r="L109" s="97">
        <f t="shared" si="110"/>
        <v>0</v>
      </c>
      <c r="M109" s="97">
        <f t="shared" si="111"/>
        <v>0</v>
      </c>
      <c r="N109" s="95"/>
      <c r="O109" s="635" t="e">
        <f t="shared" si="112"/>
        <v>#DIV/0!</v>
      </c>
    </row>
    <row r="110" spans="1:83" hidden="1" x14ac:dyDescent="0.2">
      <c r="A110" s="99" t="s">
        <v>177</v>
      </c>
      <c r="B110" s="96" t="s">
        <v>183</v>
      </c>
      <c r="C110" s="98"/>
      <c r="D110" s="97">
        <f>ROUND(F110/F6,2)</f>
        <v>0</v>
      </c>
      <c r="E110" s="96"/>
      <c r="F110" s="95">
        <f>пр.6!D9</f>
        <v>0</v>
      </c>
      <c r="G110" s="97">
        <f t="shared" si="107"/>
        <v>0</v>
      </c>
      <c r="H110" s="97">
        <f t="shared" si="108"/>
        <v>0</v>
      </c>
      <c r="I110" s="97">
        <f t="shared" si="109"/>
        <v>0</v>
      </c>
      <c r="J110" s="97">
        <f t="shared" si="113"/>
        <v>0</v>
      </c>
      <c r="K110" s="97">
        <f t="shared" si="113"/>
        <v>0</v>
      </c>
      <c r="L110" s="97">
        <f t="shared" si="110"/>
        <v>0</v>
      </c>
      <c r="M110" s="97">
        <f t="shared" si="111"/>
        <v>0</v>
      </c>
      <c r="N110" s="95"/>
      <c r="O110" s="635" t="e">
        <f t="shared" si="112"/>
        <v>#DIV/0!</v>
      </c>
    </row>
    <row r="111" spans="1:83" hidden="1" x14ac:dyDescent="0.2">
      <c r="A111" s="99" t="s">
        <v>176</v>
      </c>
      <c r="B111" s="96" t="s">
        <v>183</v>
      </c>
      <c r="C111" s="98"/>
      <c r="D111" s="97">
        <f>ROUND(F111/F6,2)</f>
        <v>0</v>
      </c>
      <c r="E111" s="96"/>
      <c r="F111" s="95">
        <f>пр.6!D8</f>
        <v>0</v>
      </c>
      <c r="G111" s="97">
        <f t="shared" si="107"/>
        <v>0</v>
      </c>
      <c r="H111" s="97">
        <f t="shared" si="108"/>
        <v>0</v>
      </c>
      <c r="I111" s="97">
        <f t="shared" si="109"/>
        <v>0</v>
      </c>
      <c r="J111" s="97">
        <f t="shared" si="113"/>
        <v>0</v>
      </c>
      <c r="K111" s="97">
        <f t="shared" si="113"/>
        <v>0</v>
      </c>
      <c r="L111" s="97">
        <f t="shared" si="110"/>
        <v>0</v>
      </c>
      <c r="M111" s="97">
        <f t="shared" si="111"/>
        <v>0</v>
      </c>
      <c r="N111" s="95"/>
      <c r="O111" s="635" t="e">
        <f t="shared" si="112"/>
        <v>#DIV/0!</v>
      </c>
    </row>
    <row r="112" spans="1:83" hidden="1" x14ac:dyDescent="0.2">
      <c r="A112" s="32" t="s">
        <v>168</v>
      </c>
      <c r="B112" s="96" t="s">
        <v>183</v>
      </c>
      <c r="C112" s="98"/>
      <c r="D112" s="97">
        <f>ROUND(F112/F6,2)</f>
        <v>0</v>
      </c>
      <c r="E112" s="96"/>
      <c r="F112" s="95">
        <f>пр.6!H16+пр.6!H17+пр.6!H18+пр.6!H19</f>
        <v>0</v>
      </c>
      <c r="G112" s="97">
        <f t="shared" si="107"/>
        <v>0</v>
      </c>
      <c r="H112" s="97">
        <f t="shared" si="108"/>
        <v>0</v>
      </c>
      <c r="I112" s="97">
        <f t="shared" si="109"/>
        <v>0</v>
      </c>
      <c r="J112" s="97">
        <f t="shared" si="113"/>
        <v>0</v>
      </c>
      <c r="K112" s="97">
        <f t="shared" si="113"/>
        <v>0</v>
      </c>
      <c r="L112" s="97">
        <f t="shared" si="110"/>
        <v>0</v>
      </c>
      <c r="M112" s="97">
        <f t="shared" si="111"/>
        <v>0</v>
      </c>
      <c r="N112" s="95"/>
      <c r="O112" s="635" t="e">
        <f t="shared" si="112"/>
        <v>#DIV/0!</v>
      </c>
    </row>
    <row r="113" spans="1:83" hidden="1" x14ac:dyDescent="0.2">
      <c r="A113" s="32" t="s">
        <v>166</v>
      </c>
      <c r="B113" s="96" t="s">
        <v>183</v>
      </c>
      <c r="C113" s="98"/>
      <c r="D113" s="97">
        <f>ROUND(F113/F6,2)</f>
        <v>0</v>
      </c>
      <c r="E113" s="96"/>
      <c r="F113" s="95">
        <f>пр.6!H20</f>
        <v>0</v>
      </c>
      <c r="G113" s="97">
        <f t="shared" si="107"/>
        <v>0</v>
      </c>
      <c r="H113" s="97">
        <f t="shared" si="108"/>
        <v>0</v>
      </c>
      <c r="I113" s="97">
        <f t="shared" si="109"/>
        <v>0</v>
      </c>
      <c r="J113" s="97">
        <f t="shared" si="113"/>
        <v>0</v>
      </c>
      <c r="K113" s="97">
        <f t="shared" si="113"/>
        <v>0</v>
      </c>
      <c r="L113" s="97">
        <f t="shared" si="110"/>
        <v>0</v>
      </c>
      <c r="M113" s="97">
        <f t="shared" si="111"/>
        <v>0</v>
      </c>
      <c r="N113" s="95"/>
      <c r="O113" s="635" t="e">
        <f t="shared" si="112"/>
        <v>#DIV/0!</v>
      </c>
    </row>
    <row r="114" spans="1:83" x14ac:dyDescent="0.2">
      <c r="A114" s="99"/>
      <c r="B114" s="96"/>
      <c r="C114" s="98"/>
      <c r="D114" s="97"/>
      <c r="E114" s="96"/>
      <c r="F114" s="95"/>
      <c r="G114" s="97">
        <f t="shared" si="107"/>
        <v>0</v>
      </c>
      <c r="H114" s="97">
        <f t="shared" si="108"/>
        <v>0</v>
      </c>
      <c r="I114" s="97">
        <f t="shared" si="109"/>
        <v>0</v>
      </c>
      <c r="J114" s="97">
        <f t="shared" si="113"/>
        <v>0</v>
      </c>
      <c r="K114" s="97">
        <f t="shared" si="113"/>
        <v>0</v>
      </c>
      <c r="L114" s="97">
        <f t="shared" si="110"/>
        <v>0</v>
      </c>
      <c r="M114" s="97">
        <f t="shared" si="111"/>
        <v>0</v>
      </c>
      <c r="N114" s="95"/>
      <c r="O114" s="635" t="e">
        <f t="shared" si="112"/>
        <v>#DIV/0!</v>
      </c>
    </row>
    <row r="115" spans="1:83" s="89" customFormat="1" ht="13.5" thickBot="1" x14ac:dyDescent="0.25">
      <c r="A115" s="94" t="s">
        <v>182</v>
      </c>
      <c r="B115" s="91"/>
      <c r="C115" s="93"/>
      <c r="D115" s="92">
        <f>ROUND(F115/F6,2)</f>
        <v>1018.74</v>
      </c>
      <c r="E115" s="91"/>
      <c r="F115" s="90">
        <f>SUM(F107:F113)</f>
        <v>525669</v>
      </c>
      <c r="G115" s="90">
        <f>SUM(G107:G113)</f>
        <v>1018.73</v>
      </c>
      <c r="H115" s="90">
        <f t="shared" ref="H115:J115" si="114">SUM(H107:H113)</f>
        <v>1018.73</v>
      </c>
      <c r="I115" s="90">
        <f t="shared" si="114"/>
        <v>1018.73</v>
      </c>
      <c r="J115" s="90">
        <f t="shared" si="114"/>
        <v>1018.73</v>
      </c>
      <c r="K115" s="90">
        <f t="shared" ref="K115" si="115">SUM(K107:K113)</f>
        <v>0</v>
      </c>
      <c r="L115" s="90">
        <f t="shared" ref="L115" si="116">SUM(L107:L113)</f>
        <v>0</v>
      </c>
      <c r="M115" s="90">
        <f t="shared" ref="M115" si="117">SUM(M107:M113)</f>
        <v>0</v>
      </c>
      <c r="N115" s="90">
        <f>SUM(N107:N113)</f>
        <v>0</v>
      </c>
      <c r="O115" s="645" t="e">
        <f>SUM(O107:O113)</f>
        <v>#DIV/0!</v>
      </c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68"/>
      <c r="AP115" s="68"/>
      <c r="AQ115" s="68"/>
      <c r="AR115" s="68"/>
      <c r="AS115" s="68"/>
      <c r="AT115" s="68"/>
      <c r="AU115" s="68"/>
      <c r="AV115" s="68"/>
      <c r="AW115" s="68"/>
      <c r="AX115" s="68"/>
      <c r="AY115" s="68"/>
      <c r="AZ115" s="68"/>
      <c r="BA115" s="68"/>
      <c r="BB115" s="68"/>
      <c r="BC115" s="68"/>
      <c r="BD115" s="68"/>
      <c r="BE115" s="68"/>
      <c r="BF115" s="68"/>
      <c r="BG115" s="68"/>
      <c r="BH115" s="68"/>
      <c r="BI115" s="68"/>
      <c r="BJ115" s="68"/>
      <c r="BK115" s="68"/>
      <c r="BL115" s="68"/>
      <c r="BM115" s="68"/>
      <c r="BN115" s="68"/>
      <c r="BO115" s="68"/>
      <c r="BP115" s="68"/>
      <c r="BQ115" s="68"/>
      <c r="BR115" s="68"/>
      <c r="BS115" s="68"/>
      <c r="BT115" s="68"/>
      <c r="BU115" s="68"/>
      <c r="BV115" s="68"/>
      <c r="BW115" s="68"/>
      <c r="BX115" s="68"/>
      <c r="BY115" s="68"/>
      <c r="BZ115" s="68"/>
      <c r="CA115" s="68"/>
      <c r="CB115" s="68"/>
      <c r="CC115" s="68"/>
      <c r="CD115" s="68"/>
      <c r="CE115" s="68"/>
    </row>
    <row r="116" spans="1:83" ht="17.25" thickBot="1" x14ac:dyDescent="0.3">
      <c r="A116" s="184" t="s">
        <v>181</v>
      </c>
      <c r="B116" s="185"/>
      <c r="C116" s="185"/>
      <c r="D116" s="231">
        <f>D115+D105+D14</f>
        <v>41679.58</v>
      </c>
      <c r="E116" s="232"/>
      <c r="F116" s="233">
        <f t="shared" ref="F116" si="118">F115+F105+F14</f>
        <v>21506677.52</v>
      </c>
      <c r="G116" s="231">
        <f t="shared" ref="G116:L116" si="119">G115+G105+G14+0.01</f>
        <v>41679.599999999999</v>
      </c>
      <c r="H116" s="231">
        <f t="shared" si="119"/>
        <v>41679.599999999999</v>
      </c>
      <c r="I116" s="231">
        <f t="shared" si="119"/>
        <v>41679.599999999999</v>
      </c>
      <c r="J116" s="231">
        <f t="shared" si="119"/>
        <v>41639.199999999997</v>
      </c>
      <c r="K116" s="231">
        <f t="shared" si="119"/>
        <v>-1.99</v>
      </c>
      <c r="L116" s="231">
        <f t="shared" si="119"/>
        <v>0.01</v>
      </c>
      <c r="M116" s="231">
        <f>M115+M105+M14</f>
        <v>0</v>
      </c>
      <c r="N116" s="233">
        <f t="shared" ref="N116" si="120">N115+N105+N14</f>
        <v>0</v>
      </c>
      <c r="O116" s="646" t="e">
        <f>O115+O105+O14</f>
        <v>#DIV/0!</v>
      </c>
    </row>
    <row r="117" spans="1:83" ht="14.25" customHeight="1" x14ac:dyDescent="0.2">
      <c r="F117" s="88"/>
      <c r="N117" s="88"/>
      <c r="O117" s="647"/>
    </row>
    <row r="118" spans="1:83" x14ac:dyDescent="0.2">
      <c r="F118" s="87"/>
      <c r="N118" s="87"/>
      <c r="O118" s="87"/>
    </row>
    <row r="119" spans="1:83" s="11" customFormat="1" ht="15" x14ac:dyDescent="0.25">
      <c r="A119" s="15" t="s">
        <v>577</v>
      </c>
      <c r="B119" s="70"/>
      <c r="C119" s="211"/>
      <c r="D119" s="941" t="s">
        <v>498</v>
      </c>
      <c r="E119" s="942"/>
      <c r="G119" s="13" t="s">
        <v>578</v>
      </c>
      <c r="H119" s="12"/>
      <c r="I119" s="15"/>
      <c r="J119" s="12"/>
      <c r="K119" s="12"/>
      <c r="L119" s="12"/>
    </row>
    <row r="120" spans="1:83" s="11" customFormat="1" x14ac:dyDescent="0.2">
      <c r="A120" s="67"/>
      <c r="B120" s="67"/>
      <c r="C120" s="67"/>
      <c r="D120" s="67"/>
      <c r="E120" s="14"/>
      <c r="G120" s="13"/>
      <c r="H120" s="12"/>
      <c r="J120" s="35"/>
      <c r="K120" s="35"/>
      <c r="L120" s="35"/>
    </row>
    <row r="121" spans="1:83" s="11" customFormat="1" ht="15" x14ac:dyDescent="0.25">
      <c r="A121" s="11" t="s">
        <v>587</v>
      </c>
      <c r="B121" s="67"/>
      <c r="C121" s="212"/>
      <c r="D121" s="941" t="s">
        <v>499</v>
      </c>
      <c r="E121" s="942"/>
      <c r="G121" s="13" t="s">
        <v>580</v>
      </c>
      <c r="H121" s="12"/>
      <c r="J121" s="12"/>
      <c r="K121" s="12"/>
      <c r="L121" s="12"/>
    </row>
    <row r="122" spans="1:83" x14ac:dyDescent="0.2">
      <c r="G122" s="435">
        <f>'проверка 2020'!I34</f>
        <v>41679.599999999999</v>
      </c>
      <c r="H122" s="435">
        <f>'проверка 2020'!K34</f>
        <v>41679.599999999999</v>
      </c>
      <c r="I122" s="435">
        <f>'проверка 2020'!M34</f>
        <v>41679.599999999999</v>
      </c>
      <c r="J122" s="435">
        <f>'проверка 2020'!O34</f>
        <v>0</v>
      </c>
      <c r="K122" s="435">
        <f>'проверка 2020'!P34</f>
        <v>0</v>
      </c>
      <c r="L122" s="435">
        <f>'проверка 2020'!P34</f>
        <v>0</v>
      </c>
      <c r="M122" s="13"/>
      <c r="N122" s="11"/>
      <c r="O122" s="11">
        <f>'проверка фок'!E48</f>
        <v>0</v>
      </c>
    </row>
    <row r="123" spans="1:83" x14ac:dyDescent="0.2">
      <c r="G123" s="38">
        <f t="shared" ref="G123:J123" si="121">G122-G116</f>
        <v>0</v>
      </c>
      <c r="H123" s="38">
        <f t="shared" si="121"/>
        <v>0</v>
      </c>
      <c r="I123" s="38">
        <f t="shared" si="121"/>
        <v>0</v>
      </c>
      <c r="J123" s="38">
        <f t="shared" si="121"/>
        <v>-41639.199999999997</v>
      </c>
      <c r="K123" s="38">
        <f t="shared" ref="K123" si="122">K122-K116</f>
        <v>1.99</v>
      </c>
      <c r="L123" s="38">
        <f t="shared" ref="L123" si="123">L122-L116</f>
        <v>-0.01</v>
      </c>
      <c r="M123" s="13"/>
      <c r="N123" s="11"/>
      <c r="O123" s="648" t="e">
        <f>O122-O116</f>
        <v>#DIV/0!</v>
      </c>
    </row>
    <row r="124" spans="1:83" x14ac:dyDescent="0.2">
      <c r="G124" s="260"/>
      <c r="H124" s="261"/>
      <c r="I124" s="261"/>
      <c r="J124" s="261"/>
      <c r="K124" s="261"/>
      <c r="L124" s="261"/>
    </row>
    <row r="125" spans="1:83" x14ac:dyDescent="0.2">
      <c r="G125" s="261"/>
      <c r="H125" s="261"/>
      <c r="I125" s="261"/>
      <c r="J125" s="261"/>
      <c r="K125" s="261"/>
      <c r="L125" s="261"/>
    </row>
    <row r="126" spans="1:83" x14ac:dyDescent="0.2">
      <c r="G126" s="260"/>
      <c r="H126" s="260"/>
      <c r="I126" s="260"/>
      <c r="J126" s="260"/>
      <c r="K126" s="260"/>
      <c r="L126" s="260"/>
    </row>
    <row r="127" spans="1:83" x14ac:dyDescent="0.2">
      <c r="G127" s="260"/>
      <c r="H127" s="260"/>
      <c r="I127" s="260"/>
      <c r="J127" s="260"/>
      <c r="K127" s="260"/>
      <c r="L127" s="260"/>
    </row>
  </sheetData>
  <mergeCells count="23">
    <mergeCell ref="D119:E119"/>
    <mergeCell ref="D121:E121"/>
    <mergeCell ref="A80:J80"/>
    <mergeCell ref="A26:J26"/>
    <mergeCell ref="A27:J27"/>
    <mergeCell ref="A38:J38"/>
    <mergeCell ref="A33:J33"/>
    <mergeCell ref="A106:J106"/>
    <mergeCell ref="A90:J90"/>
    <mergeCell ref="A93:J93"/>
    <mergeCell ref="A97:J97"/>
    <mergeCell ref="A20:J20"/>
    <mergeCell ref="A3:F3"/>
    <mergeCell ref="A1:J1"/>
    <mergeCell ref="A68:F68"/>
    <mergeCell ref="A84:F84"/>
    <mergeCell ref="A79:J79"/>
    <mergeCell ref="A15:J15"/>
    <mergeCell ref="A64:J64"/>
    <mergeCell ref="B2:J2"/>
    <mergeCell ref="A9:J9"/>
    <mergeCell ref="A5:J5"/>
    <mergeCell ref="A44:J44"/>
  </mergeCells>
  <pageMargins left="1.7716535433070868" right="0.15748031496062992" top="0.23622047244094491" bottom="0.35433070866141736" header="0.31496062992125984" footer="0.31496062992125984"/>
  <pageSetup paperSize="9" scale="4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7"/>
  <sheetViews>
    <sheetView view="pageBreakPreview" topLeftCell="A81" zoomScaleNormal="100" zoomScaleSheetLayoutView="100" workbookViewId="0">
      <selection activeCell="F103" sqref="F103"/>
    </sheetView>
  </sheetViews>
  <sheetFormatPr defaultColWidth="9.140625" defaultRowHeight="12.75" x14ac:dyDescent="0.2"/>
  <cols>
    <col min="1" max="1" width="18.140625" style="12" customWidth="1"/>
    <col min="2" max="2" width="14.140625" style="12" customWidth="1"/>
    <col min="3" max="3" width="15.42578125" style="12" customWidth="1"/>
    <col min="4" max="4" width="11.7109375" style="12" customWidth="1"/>
    <col min="5" max="5" width="12.140625" style="12" customWidth="1"/>
    <col min="6" max="6" width="13.140625" style="12" customWidth="1"/>
    <col min="7" max="7" width="12.7109375" style="12" customWidth="1"/>
    <col min="8" max="8" width="11.28515625" style="12" customWidth="1"/>
    <col min="9" max="9" width="10.28515625" style="12" customWidth="1"/>
    <col min="10" max="10" width="10" style="12" bestFit="1" customWidth="1"/>
    <col min="11" max="11" width="10" style="11" bestFit="1" customWidth="1"/>
    <col min="12" max="12" width="11.28515625" style="11" customWidth="1"/>
    <col min="13" max="13" width="9.140625" style="11"/>
    <col min="14" max="14" width="9.85546875" style="11" customWidth="1"/>
    <col min="15" max="17" width="9.140625" style="11"/>
    <col min="18" max="18" width="12" style="11" customWidth="1"/>
    <col min="19" max="16384" width="9.140625" style="11"/>
  </cols>
  <sheetData>
    <row r="1" spans="1:17" x14ac:dyDescent="0.2">
      <c r="F1" s="956" t="s">
        <v>131</v>
      </c>
      <c r="G1" s="956"/>
    </row>
    <row r="2" spans="1:17" s="46" customFormat="1" ht="35.25" customHeight="1" x14ac:dyDescent="0.3">
      <c r="A2" s="957" t="s">
        <v>130</v>
      </c>
      <c r="B2" s="957"/>
      <c r="C2" s="957"/>
      <c r="D2" s="957"/>
      <c r="E2" s="957"/>
      <c r="F2" s="957"/>
      <c r="G2" s="957"/>
      <c r="H2" s="47"/>
      <c r="I2" s="47"/>
      <c r="J2" s="47"/>
    </row>
    <row r="3" spans="1:17" ht="11.25" customHeight="1" x14ac:dyDescent="0.3">
      <c r="A3" s="27"/>
      <c r="B3" s="27"/>
      <c r="C3" s="27"/>
      <c r="D3" s="27"/>
      <c r="E3" s="27"/>
      <c r="F3" s="958"/>
      <c r="G3" s="958"/>
    </row>
    <row r="4" spans="1:17" ht="48" customHeight="1" x14ac:dyDescent="0.25">
      <c r="A4" s="959" t="s">
        <v>129</v>
      </c>
      <c r="B4" s="959"/>
      <c r="C4" s="959"/>
      <c r="D4" s="959"/>
      <c r="E4" s="959"/>
      <c r="F4" s="959"/>
      <c r="G4" s="959"/>
    </row>
    <row r="5" spans="1:17" ht="25.5" x14ac:dyDescent="0.2">
      <c r="A5" s="223" t="s">
        <v>113</v>
      </c>
      <c r="B5" s="223" t="s">
        <v>94</v>
      </c>
      <c r="C5" s="223" t="s">
        <v>93</v>
      </c>
      <c r="D5" s="223" t="s">
        <v>92</v>
      </c>
      <c r="E5" s="223" t="s">
        <v>91</v>
      </c>
      <c r="F5" s="223" t="s">
        <v>90</v>
      </c>
      <c r="G5" s="223" t="s">
        <v>89</v>
      </c>
    </row>
    <row r="6" spans="1:17" x14ac:dyDescent="0.2">
      <c r="A6" s="21">
        <f>M10</f>
        <v>0</v>
      </c>
      <c r="B6" s="21">
        <f>P10</f>
        <v>0</v>
      </c>
      <c r="C6" s="21">
        <f>Q10</f>
        <v>0</v>
      </c>
      <c r="D6" s="21"/>
      <c r="E6" s="21">
        <v>1</v>
      </c>
      <c r="F6" s="21">
        <f>ROUND((A6*B6*C6)*D6*E6,2)</f>
        <v>0</v>
      </c>
      <c r="G6" s="21">
        <f>ROUND(F6*30.2%,0)</f>
        <v>0</v>
      </c>
      <c r="K6" s="11" t="s">
        <v>128</v>
      </c>
    </row>
    <row r="7" spans="1:17" x14ac:dyDescent="0.2">
      <c r="A7" s="21">
        <f>M14</f>
        <v>0</v>
      </c>
      <c r="B7" s="21">
        <f>P14</f>
        <v>0</v>
      </c>
      <c r="C7" s="21">
        <f>Q14</f>
        <v>0</v>
      </c>
      <c r="D7" s="21"/>
      <c r="E7" s="21">
        <v>1</v>
      </c>
      <c r="F7" s="21">
        <f>ROUND((A7*B7*C7)*D7*E7,2)</f>
        <v>0</v>
      </c>
      <c r="G7" s="21">
        <f>ROUND(F7*30.2%,0)</f>
        <v>0</v>
      </c>
      <c r="J7" s="12" t="s">
        <v>127</v>
      </c>
    </row>
    <row r="8" spans="1:17" x14ac:dyDescent="0.2">
      <c r="A8" s="21"/>
      <c r="B8" s="21"/>
      <c r="C8" s="21"/>
      <c r="D8" s="21"/>
      <c r="E8" s="21"/>
      <c r="F8" s="21">
        <f>ROUND((A8*B8*C8)*D8*E8,2)</f>
        <v>0</v>
      </c>
      <c r="G8" s="21">
        <f>ROUND(F8*30.2%,2)</f>
        <v>0</v>
      </c>
      <c r="J8" s="33"/>
      <c r="K8" s="34"/>
      <c r="L8" s="33" t="s">
        <v>119</v>
      </c>
      <c r="M8" s="33" t="s">
        <v>118</v>
      </c>
      <c r="N8" s="33" t="s">
        <v>117</v>
      </c>
      <c r="O8" s="33" t="s">
        <v>116</v>
      </c>
      <c r="P8" s="33"/>
      <c r="Q8" s="33"/>
    </row>
    <row r="9" spans="1:17" x14ac:dyDescent="0.2">
      <c r="A9" s="21" t="s">
        <v>88</v>
      </c>
      <c r="B9" s="21"/>
      <c r="C9" s="21"/>
      <c r="D9" s="21"/>
      <c r="E9" s="21"/>
      <c r="F9" s="45">
        <f>F8+F7+F6</f>
        <v>0</v>
      </c>
      <c r="G9" s="45">
        <f>G8+G7+G6</f>
        <v>0</v>
      </c>
      <c r="J9" s="33">
        <v>1</v>
      </c>
      <c r="K9" s="34" t="s">
        <v>106</v>
      </c>
      <c r="L9" s="37">
        <v>61066.91</v>
      </c>
      <c r="M9" s="37">
        <v>4.3</v>
      </c>
      <c r="N9" s="33">
        <v>61066.91</v>
      </c>
      <c r="O9" s="37">
        <f>L9-N9</f>
        <v>0</v>
      </c>
      <c r="P9" s="33"/>
      <c r="Q9" s="33"/>
    </row>
    <row r="10" spans="1:17" x14ac:dyDescent="0.2">
      <c r="J10" s="33"/>
      <c r="K10" s="33" t="s">
        <v>105</v>
      </c>
      <c r="L10" s="33">
        <f>O10+N10</f>
        <v>0</v>
      </c>
      <c r="M10" s="37"/>
      <c r="N10" s="37">
        <v>0</v>
      </c>
      <c r="O10" s="37">
        <v>0</v>
      </c>
      <c r="P10" s="33">
        <f>IF(M10=0,0,ROUND(N10/M10,2))</f>
        <v>0</v>
      </c>
      <c r="Q10" s="33">
        <f>IF(N10=0,0,O10/N10+1)</f>
        <v>0</v>
      </c>
    </row>
    <row r="11" spans="1:17" ht="28.5" customHeight="1" thickBot="1" x14ac:dyDescent="0.3">
      <c r="A11" s="960" t="s">
        <v>126</v>
      </c>
      <c r="B11" s="960"/>
      <c r="C11" s="960"/>
      <c r="D11" s="960"/>
      <c r="E11" s="960"/>
      <c r="F11" s="960"/>
      <c r="G11" s="960"/>
      <c r="J11" s="33"/>
      <c r="K11" s="33" t="s">
        <v>104</v>
      </c>
      <c r="L11" s="33">
        <f>L9-L10</f>
        <v>61066.91</v>
      </c>
      <c r="M11" s="33">
        <f>M9-M10</f>
        <v>4.3</v>
      </c>
      <c r="N11" s="33">
        <f>N9-N10</f>
        <v>61066.91</v>
      </c>
      <c r="O11" s="33">
        <f>O9-O10</f>
        <v>0</v>
      </c>
      <c r="P11" s="33">
        <f>ROUND(N11/M11,2)</f>
        <v>14201.61</v>
      </c>
      <c r="Q11" s="33">
        <f>O11/N11+1</f>
        <v>1</v>
      </c>
    </row>
    <row r="12" spans="1:17" x14ac:dyDescent="0.2">
      <c r="A12" s="225" t="s">
        <v>125</v>
      </c>
      <c r="B12" s="214" t="s">
        <v>124</v>
      </c>
      <c r="C12" s="214" t="s">
        <v>112</v>
      </c>
      <c r="D12" s="954" t="s">
        <v>107</v>
      </c>
      <c r="E12" s="955"/>
      <c r="J12" s="34"/>
      <c r="K12" s="33"/>
      <c r="L12" s="33"/>
      <c r="M12" s="33"/>
      <c r="N12" s="33"/>
      <c r="O12" s="33"/>
      <c r="P12" s="33"/>
      <c r="Q12" s="33"/>
    </row>
    <row r="13" spans="1:17" x14ac:dyDescent="0.2">
      <c r="A13" s="22"/>
      <c r="B13" s="21"/>
      <c r="C13" s="21"/>
      <c r="D13" s="966"/>
      <c r="E13" s="967"/>
      <c r="J13" s="34">
        <v>2</v>
      </c>
      <c r="K13" s="34" t="s">
        <v>106</v>
      </c>
      <c r="L13" s="37">
        <v>61969</v>
      </c>
      <c r="M13" s="37">
        <v>4.3</v>
      </c>
      <c r="N13" s="33">
        <f>L13-O13</f>
        <v>61969</v>
      </c>
      <c r="O13" s="37"/>
      <c r="P13" s="33"/>
      <c r="Q13" s="33"/>
    </row>
    <row r="14" spans="1:17" ht="13.5" thickBot="1" x14ac:dyDescent="0.25">
      <c r="A14" s="20"/>
      <c r="B14" s="19"/>
      <c r="C14" s="19"/>
      <c r="D14" s="970"/>
      <c r="E14" s="971"/>
      <c r="J14" s="41"/>
      <c r="K14" s="33" t="s">
        <v>105</v>
      </c>
      <c r="L14" s="33">
        <f>O14+N14</f>
        <v>0</v>
      </c>
      <c r="M14" s="37">
        <v>0</v>
      </c>
      <c r="N14" s="37">
        <v>0</v>
      </c>
      <c r="O14" s="37">
        <v>0</v>
      </c>
      <c r="P14" s="33">
        <f>IF(M14=0,0,ROUND(N14/M14,2))</f>
        <v>0</v>
      </c>
      <c r="Q14" s="33">
        <f>IF(N14=0,0,O14/N14+1)</f>
        <v>0</v>
      </c>
    </row>
    <row r="15" spans="1:17" x14ac:dyDescent="0.2">
      <c r="A15" s="43"/>
      <c r="B15" s="43"/>
      <c r="C15" s="43"/>
      <c r="D15" s="43"/>
      <c r="E15" s="43"/>
      <c r="J15" s="41"/>
      <c r="K15" s="33" t="s">
        <v>104</v>
      </c>
      <c r="L15" s="33">
        <f>L13-L14</f>
        <v>61969</v>
      </c>
      <c r="M15" s="33">
        <f>M13-M14</f>
        <v>4.3</v>
      </c>
      <c r="N15" s="33">
        <f>N13-N14</f>
        <v>61969</v>
      </c>
      <c r="O15" s="33">
        <f>O13-O14</f>
        <v>0</v>
      </c>
      <c r="P15" s="33">
        <f>ROUND(N15/M15,2)</f>
        <v>14411.4</v>
      </c>
      <c r="Q15" s="33">
        <f>O15/N15+1</f>
        <v>1</v>
      </c>
    </row>
    <row r="16" spans="1:17" x14ac:dyDescent="0.2">
      <c r="A16" s="43"/>
      <c r="B16" s="43"/>
      <c r="C16" s="43"/>
      <c r="D16" s="43"/>
      <c r="E16" s="43"/>
      <c r="J16" s="41"/>
      <c r="K16" s="33"/>
      <c r="L16" s="33"/>
      <c r="M16" s="37"/>
      <c r="N16" s="37"/>
      <c r="O16" s="37"/>
      <c r="P16" s="33"/>
      <c r="Q16" s="33"/>
    </row>
    <row r="17" spans="1:19" x14ac:dyDescent="0.2">
      <c r="A17" s="43"/>
      <c r="B17" s="43"/>
      <c r="C17" s="43"/>
      <c r="D17" s="43"/>
      <c r="E17" s="43"/>
      <c r="J17" s="44">
        <v>3</v>
      </c>
      <c r="K17" s="34" t="s">
        <v>106</v>
      </c>
      <c r="L17" s="37"/>
      <c r="M17" s="37"/>
      <c r="N17" s="33">
        <f>L17-O17</f>
        <v>0</v>
      </c>
      <c r="O17" s="37"/>
      <c r="P17" s="33"/>
      <c r="Q17" s="33"/>
    </row>
    <row r="18" spans="1:19" x14ac:dyDescent="0.2">
      <c r="J18" s="34"/>
      <c r="K18" s="33" t="s">
        <v>105</v>
      </c>
      <c r="L18" s="33">
        <f>O18+N18</f>
        <v>0</v>
      </c>
      <c r="M18" s="37">
        <v>0</v>
      </c>
      <c r="N18" s="37">
        <v>0</v>
      </c>
      <c r="O18" s="37">
        <v>0</v>
      </c>
      <c r="P18" s="33">
        <f>IF(M18=0,0,ROUND(N18/M18,2))</f>
        <v>0</v>
      </c>
      <c r="Q18" s="33">
        <f>IF(N18=0,0,O18/N18+1)</f>
        <v>0</v>
      </c>
    </row>
    <row r="19" spans="1:19" ht="45.75" customHeight="1" thickBot="1" x14ac:dyDescent="0.3">
      <c r="A19" s="959" t="s">
        <v>123</v>
      </c>
      <c r="B19" s="959"/>
      <c r="C19" s="959"/>
      <c r="D19" s="959"/>
      <c r="E19" s="959"/>
      <c r="F19" s="959"/>
      <c r="G19" s="959"/>
      <c r="J19" s="34"/>
      <c r="K19" s="33" t="s">
        <v>104</v>
      </c>
      <c r="L19" s="33">
        <f>L17-L18</f>
        <v>0</v>
      </c>
      <c r="M19" s="33">
        <f>M17-M18</f>
        <v>0</v>
      </c>
      <c r="N19" s="33">
        <f>N17-N18</f>
        <v>0</v>
      </c>
      <c r="O19" s="33">
        <f>O17-O18</f>
        <v>0</v>
      </c>
      <c r="P19" s="33" t="e">
        <f>ROUND(N19/M19,2)</f>
        <v>#DIV/0!</v>
      </c>
      <c r="Q19" s="33" t="e">
        <f>O19/N19+1</f>
        <v>#DIV/0!</v>
      </c>
    </row>
    <row r="20" spans="1:19" ht="38.25" x14ac:dyDescent="0.2">
      <c r="A20" s="222" t="s">
        <v>122</v>
      </c>
      <c r="B20" s="214" t="s">
        <v>121</v>
      </c>
      <c r="C20" s="214" t="s">
        <v>112</v>
      </c>
      <c r="D20" s="214" t="s">
        <v>90</v>
      </c>
      <c r="E20" s="215" t="s">
        <v>89</v>
      </c>
      <c r="J20" s="12" t="s">
        <v>120</v>
      </c>
    </row>
    <row r="21" spans="1:19" x14ac:dyDescent="0.2">
      <c r="A21" s="22"/>
      <c r="B21" s="21"/>
      <c r="C21" s="21">
        <v>12</v>
      </c>
      <c r="D21" s="24"/>
      <c r="E21" s="24">
        <f>ROUND(D21*30.2%,0)</f>
        <v>0</v>
      </c>
      <c r="J21" s="33"/>
      <c r="K21" s="34"/>
      <c r="L21" s="33" t="s">
        <v>119</v>
      </c>
      <c r="M21" s="33" t="s">
        <v>118</v>
      </c>
      <c r="N21" s="33" t="s">
        <v>117</v>
      </c>
      <c r="O21" s="33" t="s">
        <v>116</v>
      </c>
      <c r="P21" s="33" t="s">
        <v>115</v>
      </c>
      <c r="Q21" s="33"/>
    </row>
    <row r="22" spans="1:19" x14ac:dyDescent="0.2">
      <c r="A22" s="22"/>
      <c r="B22" s="21"/>
      <c r="C22" s="21"/>
      <c r="D22" s="24">
        <f>ROUND(A22*B22*C22,2)</f>
        <v>0</v>
      </c>
      <c r="E22" s="24">
        <f>ROUND(D22*30.2%,0)</f>
        <v>0</v>
      </c>
      <c r="J22" s="33">
        <v>1</v>
      </c>
      <c r="K22" s="34" t="s">
        <v>106</v>
      </c>
      <c r="L22" s="37">
        <v>1072819</v>
      </c>
      <c r="M22" s="37">
        <v>49.11</v>
      </c>
      <c r="N22" s="33">
        <f>L22-O22</f>
        <v>895143.59</v>
      </c>
      <c r="O22" s="37">
        <v>177675.41</v>
      </c>
      <c r="P22" s="37"/>
      <c r="Q22" s="33"/>
      <c r="R22" s="33"/>
    </row>
    <row r="23" spans="1:19" x14ac:dyDescent="0.2">
      <c r="A23" s="22"/>
      <c r="B23" s="21"/>
      <c r="C23" s="21"/>
      <c r="D23" s="24">
        <f>ROUND(A23*B23*C23,2)</f>
        <v>0</v>
      </c>
      <c r="E23" s="24">
        <f>ROUND(D23*30.2%,0)</f>
        <v>0</v>
      </c>
      <c r="J23" s="33"/>
      <c r="K23" s="33" t="s">
        <v>105</v>
      </c>
      <c r="L23" s="33">
        <f>O23+N23</f>
        <v>785574.65</v>
      </c>
      <c r="M23" s="37">
        <v>35.610999999999997</v>
      </c>
      <c r="N23" s="37">
        <v>615966.41</v>
      </c>
      <c r="O23" s="37">
        <v>169608.24</v>
      </c>
      <c r="P23" s="37"/>
      <c r="Q23" s="33">
        <f>ROUND((N23+P23)/M23,2)</f>
        <v>17297.080000000002</v>
      </c>
      <c r="R23" s="33">
        <f>(O23-P23)/(N23+P23)+1</f>
        <v>1.2753530667362203</v>
      </c>
    </row>
    <row r="24" spans="1:19" x14ac:dyDescent="0.2">
      <c r="A24" s="22"/>
      <c r="B24" s="21"/>
      <c r="C24" s="21"/>
      <c r="D24" s="24">
        <f>ROUND(A24*B24*C24,2)</f>
        <v>0</v>
      </c>
      <c r="E24" s="24">
        <f>ROUND(D24*30.2%,0)</f>
        <v>0</v>
      </c>
      <c r="J24" s="33"/>
      <c r="K24" s="33" t="s">
        <v>104</v>
      </c>
      <c r="L24" s="33">
        <f>L22-L23</f>
        <v>287244.34999999998</v>
      </c>
      <c r="M24" s="33">
        <f>M22-M23</f>
        <v>13.499000000000002</v>
      </c>
      <c r="N24" s="33">
        <f>N22-N23</f>
        <v>279177.17999999993</v>
      </c>
      <c r="O24" s="33">
        <f>O22-O23</f>
        <v>8067.1700000000128</v>
      </c>
      <c r="P24" s="33"/>
      <c r="Q24" s="33">
        <f>ROUND((N24+P24)/M24,2)</f>
        <v>20681.32</v>
      </c>
      <c r="R24" s="33">
        <f>(O24-P24)/(N24+P24)+1</f>
        <v>1.028896237149469</v>
      </c>
    </row>
    <row r="25" spans="1:19" ht="13.5" thickBot="1" x14ac:dyDescent="0.25">
      <c r="A25" s="20" t="s">
        <v>88</v>
      </c>
      <c r="B25" s="19"/>
      <c r="C25" s="19"/>
      <c r="D25" s="18">
        <f>D24+D22+D21+D23</f>
        <v>0</v>
      </c>
      <c r="E25" s="18">
        <f>E24+E22+E21+E23</f>
        <v>0</v>
      </c>
      <c r="J25" s="34"/>
      <c r="K25" s="33"/>
      <c r="L25" s="33"/>
      <c r="M25" s="33"/>
      <c r="N25" s="33"/>
      <c r="O25" s="33"/>
      <c r="P25" s="33"/>
      <c r="Q25" s="33"/>
      <c r="R25" s="33"/>
    </row>
    <row r="26" spans="1:19" hidden="1" x14ac:dyDescent="0.2">
      <c r="A26" s="43"/>
      <c r="B26" s="43"/>
      <c r="C26" s="43"/>
      <c r="D26" s="42"/>
      <c r="E26" s="42"/>
      <c r="J26" s="34"/>
      <c r="K26" s="33"/>
      <c r="L26" s="33"/>
      <c r="M26" s="33"/>
      <c r="N26" s="33"/>
      <c r="O26" s="33"/>
      <c r="P26" s="33"/>
      <c r="Q26" s="33"/>
      <c r="R26" s="33"/>
    </row>
    <row r="27" spans="1:19" hidden="1" x14ac:dyDescent="0.2">
      <c r="A27" s="43"/>
      <c r="B27" s="43"/>
      <c r="C27" s="43"/>
      <c r="D27" s="42"/>
      <c r="E27" s="42"/>
      <c r="J27" s="34"/>
      <c r="K27" s="33"/>
      <c r="L27" s="33"/>
      <c r="M27" s="33"/>
      <c r="N27" s="33"/>
      <c r="O27" s="33"/>
      <c r="P27" s="33"/>
      <c r="Q27" s="33"/>
      <c r="R27" s="33"/>
    </row>
    <row r="28" spans="1:19" hidden="1" x14ac:dyDescent="0.2">
      <c r="A28" s="43"/>
      <c r="B28" s="43"/>
      <c r="C28" s="43"/>
      <c r="D28" s="42"/>
      <c r="E28" s="42"/>
      <c r="J28" s="34"/>
      <c r="K28" s="33"/>
      <c r="L28" s="33"/>
      <c r="M28" s="33"/>
      <c r="N28" s="33"/>
      <c r="O28" s="33"/>
      <c r="P28" s="33"/>
      <c r="Q28" s="33"/>
      <c r="R28" s="33"/>
    </row>
    <row r="29" spans="1:19" hidden="1" x14ac:dyDescent="0.2">
      <c r="A29" s="43"/>
      <c r="B29" s="43"/>
      <c r="C29" s="43"/>
      <c r="D29" s="42"/>
      <c r="E29" s="42"/>
      <c r="J29" s="34"/>
      <c r="K29" s="33"/>
      <c r="L29" s="33"/>
      <c r="M29" s="33"/>
      <c r="N29" s="33"/>
      <c r="O29" s="33"/>
      <c r="P29" s="33"/>
      <c r="Q29" s="33"/>
      <c r="R29" s="33"/>
    </row>
    <row r="30" spans="1:19" x14ac:dyDescent="0.2">
      <c r="A30" s="11"/>
      <c r="J30" s="34">
        <v>2</v>
      </c>
      <c r="K30" s="34" t="s">
        <v>106</v>
      </c>
      <c r="L30" s="37">
        <v>1245259</v>
      </c>
      <c r="M30" s="37">
        <v>49.11</v>
      </c>
      <c r="N30" s="33">
        <f>L30-O30</f>
        <v>895143.59</v>
      </c>
      <c r="O30" s="37">
        <f>177675.41+172440</f>
        <v>350115.41000000003</v>
      </c>
      <c r="P30" s="37"/>
      <c r="Q30" s="33"/>
      <c r="R30" s="33"/>
      <c r="S30" s="38"/>
    </row>
    <row r="31" spans="1:19" ht="24" customHeight="1" thickBot="1" x14ac:dyDescent="0.25">
      <c r="A31" s="994" t="s">
        <v>114</v>
      </c>
      <c r="B31" s="994"/>
      <c r="C31" s="994"/>
      <c r="D31" s="994"/>
      <c r="E31" s="994"/>
      <c r="F31" s="994"/>
      <c r="G31" s="994"/>
      <c r="J31" s="41"/>
      <c r="K31" s="33" t="s">
        <v>105</v>
      </c>
      <c r="L31" s="33">
        <f>O31+N31</f>
        <v>948014.65</v>
      </c>
      <c r="M31" s="37">
        <v>35.610999999999997</v>
      </c>
      <c r="N31" s="37">
        <v>615966.41</v>
      </c>
      <c r="O31" s="37">
        <f>169608.24+162440</f>
        <v>332048.24</v>
      </c>
      <c r="P31" s="37"/>
      <c r="Q31" s="33">
        <f>ROUND((N31+P31)/M31,2)</f>
        <v>17297.080000000002</v>
      </c>
      <c r="R31" s="39">
        <f>(O31-P31)/(N31+P31)+1</f>
        <v>1.5390687456479972</v>
      </c>
    </row>
    <row r="32" spans="1:19" ht="25.5" x14ac:dyDescent="0.2">
      <c r="A32" s="222" t="s">
        <v>113</v>
      </c>
      <c r="B32" s="214" t="s">
        <v>94</v>
      </c>
      <c r="C32" s="214" t="s">
        <v>93</v>
      </c>
      <c r="D32" s="214" t="s">
        <v>112</v>
      </c>
      <c r="E32" s="214" t="s">
        <v>91</v>
      </c>
      <c r="F32" s="214" t="s">
        <v>90</v>
      </c>
      <c r="G32" s="215" t="s">
        <v>89</v>
      </c>
      <c r="H32" s="35"/>
      <c r="J32" s="34"/>
      <c r="K32" s="33" t="s">
        <v>104</v>
      </c>
      <c r="L32" s="33">
        <f>L30-L31</f>
        <v>297244.34999999998</v>
      </c>
      <c r="M32" s="33">
        <f>M30-M31</f>
        <v>13.499000000000002</v>
      </c>
      <c r="N32" s="33">
        <f>N30-N31</f>
        <v>279177.17999999993</v>
      </c>
      <c r="O32" s="33">
        <f>O30-O31</f>
        <v>18067.170000000042</v>
      </c>
      <c r="P32" s="33">
        <f>P30-P31</f>
        <v>0</v>
      </c>
      <c r="Q32" s="33">
        <f>ROUND((N32+P32)/M32,2)</f>
        <v>20681.32</v>
      </c>
      <c r="R32" s="33">
        <f>(O32-P32)/(N32+P32)+1</f>
        <v>1.0647157837184258</v>
      </c>
    </row>
    <row r="33" spans="1:19" x14ac:dyDescent="0.2">
      <c r="A33" s="22">
        <f>M23</f>
        <v>35.610999999999997</v>
      </c>
      <c r="B33" s="237">
        <f>Q23</f>
        <v>17297.080000000002</v>
      </c>
      <c r="C33" s="237">
        <f>R23</f>
        <v>1.2753530667362203</v>
      </c>
      <c r="D33" s="237">
        <v>7</v>
      </c>
      <c r="E33" s="237">
        <v>1</v>
      </c>
      <c r="F33" s="24">
        <f>ROUND((A33*B33*C33)*D33*E33,0)</f>
        <v>5499022</v>
      </c>
      <c r="G33" s="23">
        <f>ROUND(F33*30.2%,0)</f>
        <v>1660705</v>
      </c>
      <c r="H33" s="35">
        <f>A33*B33*C33+B84*C84*D84</f>
        <v>934527.0562547578</v>
      </c>
      <c r="I33" s="12">
        <f>H33*8+H34*4</f>
        <v>12457251.694633236</v>
      </c>
      <c r="J33" s="34"/>
      <c r="K33" s="33"/>
      <c r="L33" s="33"/>
      <c r="M33" s="33"/>
      <c r="N33" s="33"/>
      <c r="O33" s="33"/>
      <c r="P33" s="33"/>
      <c r="Q33" s="33"/>
      <c r="R33" s="33"/>
    </row>
    <row r="34" spans="1:19" x14ac:dyDescent="0.2">
      <c r="A34" s="22">
        <f>M31</f>
        <v>35.610999999999997</v>
      </c>
      <c r="B34" s="237">
        <f>Q31</f>
        <v>17297.080000000002</v>
      </c>
      <c r="C34" s="40">
        <f>R31</f>
        <v>1.5390687456479972</v>
      </c>
      <c r="D34" s="237">
        <v>1</v>
      </c>
      <c r="E34" s="237">
        <v>1</v>
      </c>
      <c r="F34" s="301">
        <f t="shared" ref="F34:F35" si="0">ROUND((A34*B34*C34)*D34*E34,0)</f>
        <v>948015</v>
      </c>
      <c r="G34" s="23">
        <f t="shared" ref="G34:G36" si="1">ROUND(F34*30.2%,0)</f>
        <v>286301</v>
      </c>
      <c r="H34" s="35">
        <f>A34*B34*C34+A85*B85*C85</f>
        <v>1245258.8111487934</v>
      </c>
      <c r="J34" s="34">
        <v>3</v>
      </c>
      <c r="K34" s="34" t="s">
        <v>106</v>
      </c>
      <c r="L34" s="37">
        <v>1110176</v>
      </c>
      <c r="M34" s="37">
        <v>49.11</v>
      </c>
      <c r="N34" s="33">
        <f>L34-O34</f>
        <v>895143.59</v>
      </c>
      <c r="O34" s="37">
        <v>215032.41</v>
      </c>
      <c r="P34" s="37"/>
      <c r="Q34" s="33"/>
      <c r="R34" s="33"/>
      <c r="S34" s="38">
        <f>L30-L34</f>
        <v>135083</v>
      </c>
    </row>
    <row r="35" spans="1:19" x14ac:dyDescent="0.2">
      <c r="A35" s="22">
        <f>M35</f>
        <v>35.610999999999997</v>
      </c>
      <c r="B35" s="237">
        <f>Q35</f>
        <v>17297.080000000002</v>
      </c>
      <c r="C35" s="40">
        <f>R35</f>
        <v>1.331927190640152</v>
      </c>
      <c r="D35" s="237">
        <v>1</v>
      </c>
      <c r="E35" s="237">
        <v>1</v>
      </c>
      <c r="F35" s="301">
        <f t="shared" si="0"/>
        <v>820422</v>
      </c>
      <c r="G35" s="23">
        <f t="shared" si="1"/>
        <v>247767</v>
      </c>
      <c r="H35" s="35"/>
      <c r="I35" s="35"/>
      <c r="J35" s="41"/>
      <c r="K35" s="33" t="s">
        <v>105</v>
      </c>
      <c r="L35" s="33">
        <f>O35+N35</f>
        <v>820422.41</v>
      </c>
      <c r="M35" s="37">
        <v>35.610999999999997</v>
      </c>
      <c r="N35" s="37">
        <v>615966.41</v>
      </c>
      <c r="O35" s="37">
        <v>204456</v>
      </c>
      <c r="P35" s="37"/>
      <c r="Q35" s="33">
        <f>ROUND((N35+P35)/M35,2)</f>
        <v>17297.080000000002</v>
      </c>
      <c r="R35" s="39">
        <f>(O35-P35)/(N35+P35)+1</f>
        <v>1.331927190640152</v>
      </c>
      <c r="S35" s="11">
        <f>ROUND(S34/1.35,2)</f>
        <v>100061.48</v>
      </c>
    </row>
    <row r="36" spans="1:19" x14ac:dyDescent="0.2">
      <c r="A36" s="22">
        <f>M41</f>
        <v>35.610999999999997</v>
      </c>
      <c r="B36" s="759">
        <f>Q41</f>
        <v>17297.080000000002</v>
      </c>
      <c r="C36" s="40">
        <f>R41</f>
        <v>1.3859966974497846</v>
      </c>
      <c r="D36" s="237">
        <v>3</v>
      </c>
      <c r="E36" s="237">
        <v>1</v>
      </c>
      <c r="F36" s="24">
        <f>ROUND((A36*B36*C36)*D36*E36,0)</f>
        <v>2561182</v>
      </c>
      <c r="G36" s="23">
        <f t="shared" si="1"/>
        <v>773477</v>
      </c>
      <c r="H36" s="35"/>
      <c r="J36" s="34"/>
      <c r="K36" s="33" t="s">
        <v>104</v>
      </c>
      <c r="L36" s="33">
        <f>L34-L35</f>
        <v>289753.58999999997</v>
      </c>
      <c r="M36" s="33">
        <f>M34-M35</f>
        <v>13.499000000000002</v>
      </c>
      <c r="N36" s="33">
        <f>N34-N35</f>
        <v>279177.17999999993</v>
      </c>
      <c r="O36" s="33">
        <f>O34-O35</f>
        <v>10576.410000000003</v>
      </c>
      <c r="P36" s="33">
        <f>P34-P35</f>
        <v>0</v>
      </c>
      <c r="Q36" s="33">
        <f>ROUND((N36+P36)/M36,2)</f>
        <v>20681.32</v>
      </c>
      <c r="R36" s="33">
        <f>(O36-P36)/(N36+P36)+1</f>
        <v>1.0378842210527379</v>
      </c>
    </row>
    <row r="37" spans="1:19" x14ac:dyDescent="0.2">
      <c r="A37" s="22"/>
      <c r="B37" s="237"/>
      <c r="C37" s="237"/>
      <c r="D37" s="237"/>
      <c r="E37" s="237"/>
      <c r="F37" s="24">
        <f>ROUND((A37*B37*C37)*D37*E37,2)</f>
        <v>0</v>
      </c>
      <c r="G37" s="23">
        <f>ROUND(F37*30.2%,0)</f>
        <v>0</v>
      </c>
      <c r="H37" s="35"/>
      <c r="J37" s="34"/>
      <c r="K37" s="34"/>
      <c r="L37" s="34"/>
      <c r="M37" s="33"/>
      <c r="N37" s="33"/>
      <c r="O37" s="33"/>
      <c r="P37" s="33"/>
      <c r="Q37" s="33"/>
      <c r="R37" s="33"/>
    </row>
    <row r="38" spans="1:19" ht="13.5" thickBot="1" x14ac:dyDescent="0.25">
      <c r="A38" s="20" t="s">
        <v>88</v>
      </c>
      <c r="B38" s="238"/>
      <c r="C38" s="238"/>
      <c r="D38" s="238"/>
      <c r="E38" s="238"/>
      <c r="F38" s="18">
        <f>SUM(F33:F37)</f>
        <v>9828641</v>
      </c>
      <c r="G38" s="17">
        <f>SUM(G33:G37)</f>
        <v>2968250</v>
      </c>
      <c r="H38" s="35"/>
      <c r="J38" s="34"/>
      <c r="K38" s="33" t="s">
        <v>104</v>
      </c>
      <c r="L38" s="33">
        <f>L36-L37</f>
        <v>289753.58999999997</v>
      </c>
      <c r="M38" s="33">
        <f>M36-M37</f>
        <v>13.499000000000002</v>
      </c>
      <c r="N38" s="33">
        <f>N36-N37</f>
        <v>279177.17999999993</v>
      </c>
      <c r="O38" s="33">
        <f>O36-O37</f>
        <v>10576.410000000003</v>
      </c>
      <c r="P38" s="33">
        <f>P36-P37</f>
        <v>0</v>
      </c>
      <c r="Q38" s="33">
        <f>ROUND((N38+P38)/M38,2)</f>
        <v>20681.32</v>
      </c>
      <c r="R38" s="33">
        <f>(O38-P38)/(N38+P38)+1</f>
        <v>1.0378842210527379</v>
      </c>
    </row>
    <row r="39" spans="1:19" x14ac:dyDescent="0.2">
      <c r="H39" s="35"/>
      <c r="J39" s="34"/>
      <c r="K39" s="33"/>
      <c r="L39" s="33"/>
      <c r="M39" s="33"/>
      <c r="N39" s="33"/>
      <c r="O39" s="33"/>
      <c r="P39" s="33"/>
      <c r="Q39" s="33"/>
      <c r="R39" s="33"/>
      <c r="S39" s="38"/>
    </row>
    <row r="40" spans="1:19" ht="25.5" customHeight="1" thickBot="1" x14ac:dyDescent="0.25">
      <c r="A40" s="995" t="s">
        <v>111</v>
      </c>
      <c r="B40" s="995"/>
      <c r="C40" s="995"/>
      <c r="D40" s="995"/>
      <c r="E40" s="995"/>
      <c r="F40" s="995"/>
      <c r="G40" s="995"/>
      <c r="J40" s="34">
        <v>4</v>
      </c>
      <c r="K40" s="34" t="s">
        <v>106</v>
      </c>
      <c r="L40" s="37">
        <v>1143481</v>
      </c>
      <c r="M40" s="37">
        <v>49.11</v>
      </c>
      <c r="N40" s="33">
        <f>L40-O40</f>
        <v>895143.59</v>
      </c>
      <c r="O40" s="37">
        <v>248337.41</v>
      </c>
      <c r="P40" s="37"/>
      <c r="Q40" s="33"/>
      <c r="R40" s="33"/>
    </row>
    <row r="41" spans="1:19" x14ac:dyDescent="0.2">
      <c r="A41" s="224" t="s">
        <v>110</v>
      </c>
      <c r="B41" s="595" t="s">
        <v>109</v>
      </c>
      <c r="C41" s="214" t="s">
        <v>108</v>
      </c>
      <c r="D41" s="972" t="s">
        <v>107</v>
      </c>
      <c r="E41" s="973"/>
      <c r="G41" s="35"/>
      <c r="J41" s="34"/>
      <c r="K41" s="33" t="s">
        <v>105</v>
      </c>
      <c r="L41" s="33">
        <f>O41+N41</f>
        <v>853727.41</v>
      </c>
      <c r="M41" s="37">
        <v>35.610999999999997</v>
      </c>
      <c r="N41" s="37">
        <v>615966.41</v>
      </c>
      <c r="O41" s="37">
        <v>237761</v>
      </c>
      <c r="P41" s="37"/>
      <c r="Q41" s="33">
        <f>ROUND((N41+P41)/M41,2)</f>
        <v>17297.080000000002</v>
      </c>
      <c r="R41" s="39">
        <f>(O41-P41)/(N41+P41)+1</f>
        <v>1.3859966974497846</v>
      </c>
    </row>
    <row r="42" spans="1:19" x14ac:dyDescent="0.2">
      <c r="A42" s="36">
        <v>226</v>
      </c>
      <c r="B42" s="31">
        <v>37.35</v>
      </c>
      <c r="C42" s="593">
        <f>ROUND(D42/B42,0)</f>
        <v>558</v>
      </c>
      <c r="D42" s="968">
        <f>'проверка 2020'!C10</f>
        <v>20848</v>
      </c>
      <c r="E42" s="969"/>
      <c r="F42" s="12" t="s">
        <v>231</v>
      </c>
      <c r="G42" s="35"/>
      <c r="J42" s="34"/>
      <c r="K42" s="33" t="s">
        <v>104</v>
      </c>
      <c r="L42" s="33">
        <f>L40-L41</f>
        <v>289753.58999999997</v>
      </c>
      <c r="M42" s="33">
        <f>M40-M41</f>
        <v>13.499000000000002</v>
      </c>
      <c r="N42" s="33">
        <f>N40-N41</f>
        <v>279177.17999999993</v>
      </c>
      <c r="O42" s="33">
        <f>O40-O41</f>
        <v>10576.410000000003</v>
      </c>
      <c r="P42" s="33">
        <f>P40-P41</f>
        <v>0</v>
      </c>
      <c r="Q42" s="33">
        <f>ROUND((N42+P42)/M42,2)</f>
        <v>20681.32</v>
      </c>
      <c r="R42" s="33">
        <f>(O42-P42)/(N42+P42)+1</f>
        <v>1.0378842210527379</v>
      </c>
    </row>
    <row r="43" spans="1:19" x14ac:dyDescent="0.2">
      <c r="A43" s="36">
        <v>226</v>
      </c>
      <c r="B43" s="31">
        <f>ROUND(D43/C43,2)</f>
        <v>38.76</v>
      </c>
      <c r="C43" s="593">
        <f>свод!F6</f>
        <v>516</v>
      </c>
      <c r="D43" s="968">
        <f>'проверка 2020'!C11</f>
        <v>20000</v>
      </c>
      <c r="E43" s="969"/>
      <c r="G43" s="35"/>
      <c r="J43" s="11"/>
    </row>
    <row r="44" spans="1:19" x14ac:dyDescent="0.2">
      <c r="A44" s="36">
        <v>221</v>
      </c>
      <c r="B44" s="31">
        <f t="shared" ref="B44:B47" si="2">ROUND(D44/C44,2)</f>
        <v>89.42</v>
      </c>
      <c r="C44" s="593">
        <f>свод!F6</f>
        <v>516</v>
      </c>
      <c r="D44" s="968">
        <f>'проверка 2020'!C9</f>
        <v>46140</v>
      </c>
      <c r="E44" s="969"/>
      <c r="G44" s="35"/>
      <c r="J44" s="34">
        <v>3</v>
      </c>
      <c r="K44" s="34" t="s">
        <v>106</v>
      </c>
      <c r="L44" s="37"/>
      <c r="M44" s="37"/>
      <c r="N44" s="33">
        <f>L44-O44</f>
        <v>0</v>
      </c>
      <c r="O44" s="37"/>
      <c r="P44" s="37"/>
      <c r="Q44" s="33"/>
      <c r="R44" s="33"/>
    </row>
    <row r="45" spans="1:19" x14ac:dyDescent="0.2">
      <c r="A45" s="32">
        <v>310</v>
      </c>
      <c r="B45" s="31">
        <f t="shared" si="2"/>
        <v>355.81</v>
      </c>
      <c r="C45" s="593">
        <f>свод!F6</f>
        <v>516</v>
      </c>
      <c r="D45" s="968">
        <f>'проверка 2020'!C12</f>
        <v>183600</v>
      </c>
      <c r="E45" s="969"/>
      <c r="J45" s="34"/>
      <c r="K45" s="33" t="s">
        <v>105</v>
      </c>
      <c r="L45" s="33">
        <f>O45+N45</f>
        <v>0</v>
      </c>
      <c r="M45" s="37"/>
      <c r="N45" s="37"/>
      <c r="O45" s="37"/>
      <c r="P45" s="37"/>
      <c r="Q45" s="33"/>
      <c r="R45" s="33"/>
    </row>
    <row r="46" spans="1:19" x14ac:dyDescent="0.2">
      <c r="A46" s="32">
        <v>310</v>
      </c>
      <c r="B46" s="31">
        <f>ROUND(D46/C45,2)</f>
        <v>923.57</v>
      </c>
      <c r="C46" s="593">
        <f>свод!F6</f>
        <v>516</v>
      </c>
      <c r="D46" s="968">
        <f>'проверка 2020'!C13</f>
        <v>476560</v>
      </c>
      <c r="E46" s="969"/>
      <c r="J46" s="34"/>
      <c r="K46" s="33"/>
      <c r="L46" s="33"/>
      <c r="M46" s="37"/>
      <c r="N46" s="37"/>
      <c r="O46" s="37"/>
      <c r="P46" s="37"/>
      <c r="Q46" s="33"/>
      <c r="R46" s="33"/>
    </row>
    <row r="47" spans="1:19" ht="15.75" customHeight="1" thickBot="1" x14ac:dyDescent="0.25">
      <c r="A47" s="30">
        <v>340</v>
      </c>
      <c r="B47" s="603">
        <f t="shared" si="2"/>
        <v>50.35</v>
      </c>
      <c r="C47" s="594">
        <f>свод!F6</f>
        <v>516</v>
      </c>
      <c r="D47" s="986">
        <f>'проверка 2020'!C14</f>
        <v>25982</v>
      </c>
      <c r="E47" s="987"/>
      <c r="F47" s="705"/>
      <c r="J47" s="34"/>
      <c r="K47" s="33" t="s">
        <v>104</v>
      </c>
      <c r="L47" s="33">
        <f>L44-L45</f>
        <v>0</v>
      </c>
      <c r="M47" s="33">
        <f>M44-M45</f>
        <v>0</v>
      </c>
      <c r="N47" s="33">
        <f>N44-N45</f>
        <v>0</v>
      </c>
      <c r="O47" s="33">
        <f>O44-O45</f>
        <v>0</v>
      </c>
      <c r="P47" s="33">
        <f>P44-P45</f>
        <v>0</v>
      </c>
      <c r="Q47" s="33"/>
      <c r="R47" s="33"/>
    </row>
    <row r="48" spans="1:19" ht="16.5" customHeight="1" x14ac:dyDescent="0.2">
      <c r="A48" s="65"/>
      <c r="B48" s="300"/>
      <c r="C48" s="43"/>
      <c r="D48" s="43"/>
      <c r="E48" s="43"/>
      <c r="J48" s="29"/>
      <c r="K48" s="28"/>
      <c r="L48" s="321"/>
      <c r="M48" s="28"/>
      <c r="N48" s="28"/>
      <c r="O48" s="28"/>
      <c r="P48" s="28"/>
      <c r="Q48" s="28"/>
      <c r="R48" s="28"/>
    </row>
    <row r="49" spans="1:18" ht="45" customHeight="1" thickBot="1" x14ac:dyDescent="0.3">
      <c r="A49" s="965" t="s">
        <v>304</v>
      </c>
      <c r="B49" s="965"/>
      <c r="C49" s="965"/>
      <c r="D49" s="965"/>
      <c r="E49" s="965"/>
      <c r="F49" s="965"/>
      <c r="G49" s="965"/>
      <c r="J49" s="29"/>
      <c r="K49" s="28"/>
      <c r="L49" s="321"/>
      <c r="M49" s="28"/>
      <c r="N49" s="28"/>
      <c r="O49" s="28"/>
      <c r="P49" s="28"/>
      <c r="Q49" s="28"/>
      <c r="R49" s="28"/>
    </row>
    <row r="50" spans="1:18" ht="15.75" customHeight="1" x14ac:dyDescent="0.25">
      <c r="A50" s="297" t="s">
        <v>110</v>
      </c>
      <c r="B50" s="974" t="s">
        <v>125</v>
      </c>
      <c r="C50" s="975"/>
      <c r="D50" s="976" t="s">
        <v>107</v>
      </c>
      <c r="E50" s="977"/>
      <c r="J50" s="29"/>
      <c r="K50" s="28"/>
      <c r="L50" s="28"/>
      <c r="M50" s="28"/>
      <c r="N50" s="28"/>
      <c r="O50" s="28"/>
      <c r="P50" s="28"/>
      <c r="Q50" s="28"/>
      <c r="R50" s="28"/>
    </row>
    <row r="51" spans="1:18" ht="15.75" customHeight="1" x14ac:dyDescent="0.2">
      <c r="A51" s="298">
        <v>226</v>
      </c>
      <c r="B51" s="978">
        <f>'проверка 2020'!C15</f>
        <v>0</v>
      </c>
      <c r="C51" s="979"/>
      <c r="D51" s="980"/>
      <c r="E51" s="967"/>
      <c r="J51" s="29"/>
      <c r="K51" s="28"/>
      <c r="L51" s="28"/>
      <c r="M51" s="28"/>
      <c r="N51" s="28"/>
      <c r="O51" s="28"/>
      <c r="P51" s="28"/>
      <c r="Q51" s="28"/>
      <c r="R51" s="28"/>
    </row>
    <row r="52" spans="1:18" ht="13.5" thickBot="1" x14ac:dyDescent="0.25">
      <c r="A52" s="299">
        <v>340</v>
      </c>
      <c r="B52" s="981">
        <f>'проверка 2020'!C16</f>
        <v>0</v>
      </c>
      <c r="C52" s="962"/>
      <c r="D52" s="992">
        <f>'проверка 2020'!C16-D97</f>
        <v>0</v>
      </c>
      <c r="E52" s="993"/>
      <c r="J52" s="29"/>
      <c r="K52" s="28"/>
      <c r="L52" s="28"/>
      <c r="M52" s="28"/>
      <c r="N52" s="28"/>
      <c r="O52" s="28"/>
      <c r="P52" s="28"/>
      <c r="Q52" s="28"/>
      <c r="R52" s="28"/>
    </row>
    <row r="53" spans="1:18" ht="15.75" customHeight="1" x14ac:dyDescent="0.2">
      <c r="A53" s="65"/>
      <c r="B53" s="300"/>
      <c r="C53" s="43"/>
      <c r="D53" s="43"/>
      <c r="E53" s="43"/>
      <c r="J53" s="29"/>
      <c r="K53" s="28"/>
      <c r="L53" s="28"/>
      <c r="M53" s="28"/>
      <c r="N53" s="28"/>
      <c r="O53" s="28"/>
      <c r="P53" s="28"/>
      <c r="Q53" s="28"/>
      <c r="R53" s="28"/>
    </row>
    <row r="54" spans="1:18" x14ac:dyDescent="0.2">
      <c r="J54" s="29"/>
      <c r="K54" s="28"/>
      <c r="L54" s="28"/>
      <c r="M54" s="28"/>
      <c r="N54" s="28"/>
      <c r="O54" s="28"/>
      <c r="P54" s="28"/>
      <c r="Q54" s="28"/>
      <c r="R54" s="28"/>
    </row>
    <row r="55" spans="1:18" hidden="1" x14ac:dyDescent="0.2">
      <c r="J55" s="29"/>
      <c r="K55" s="28"/>
      <c r="L55" s="28"/>
      <c r="M55" s="239">
        <f>'проверка 2020'!C7-'пр.1+2 '!L55</f>
        <v>13295611</v>
      </c>
      <c r="N55" s="28"/>
      <c r="O55" s="28"/>
      <c r="P55" s="28"/>
      <c r="Q55" s="28"/>
      <c r="R55" s="28"/>
    </row>
    <row r="56" spans="1:18" ht="15" x14ac:dyDescent="0.25">
      <c r="A56" s="15" t="s">
        <v>577</v>
      </c>
      <c r="B56" s="70"/>
      <c r="C56" s="211" t="s">
        <v>578</v>
      </c>
      <c r="D56" s="941"/>
      <c r="E56" s="942"/>
      <c r="F56" s="15"/>
      <c r="G56" s="13"/>
      <c r="J56" s="29"/>
      <c r="K56" s="28"/>
      <c r="L56" s="28"/>
      <c r="M56" s="28"/>
      <c r="N56" s="28"/>
      <c r="O56" s="28"/>
      <c r="P56" s="28"/>
      <c r="Q56" s="28"/>
      <c r="R56" s="28"/>
    </row>
    <row r="57" spans="1:18" x14ac:dyDescent="0.2">
      <c r="A57" s="67"/>
      <c r="B57" s="67"/>
      <c r="C57" s="67"/>
      <c r="D57" s="67"/>
      <c r="E57" s="14"/>
      <c r="F57" s="11"/>
      <c r="G57" s="13"/>
    </row>
    <row r="58" spans="1:18" ht="15" x14ac:dyDescent="0.25">
      <c r="A58" s="11" t="s">
        <v>579</v>
      </c>
      <c r="B58" s="67"/>
      <c r="C58" s="212" t="s">
        <v>580</v>
      </c>
      <c r="D58" s="941"/>
      <c r="E58" s="942"/>
      <c r="F58" s="11"/>
      <c r="G58" s="13"/>
    </row>
    <row r="59" spans="1:18" x14ac:dyDescent="0.2">
      <c r="J59" s="35"/>
    </row>
    <row r="60" spans="1:18" x14ac:dyDescent="0.2">
      <c r="A60" s="15"/>
      <c r="B60" s="15"/>
      <c r="C60" s="15"/>
      <c r="D60" s="15"/>
      <c r="E60" s="16"/>
    </row>
    <row r="61" spans="1:18" x14ac:dyDescent="0.2">
      <c r="A61" s="15"/>
      <c r="B61" s="11"/>
      <c r="C61" s="11"/>
      <c r="D61" s="11"/>
      <c r="E61" s="14"/>
    </row>
    <row r="62" spans="1:18" x14ac:dyDescent="0.2">
      <c r="A62" s="11"/>
      <c r="B62" s="11"/>
      <c r="C62" s="11"/>
      <c r="D62" s="11"/>
      <c r="E62" s="14"/>
    </row>
    <row r="63" spans="1:18" x14ac:dyDescent="0.2">
      <c r="F63" s="956" t="s">
        <v>103</v>
      </c>
      <c r="G63" s="956"/>
    </row>
    <row r="64" spans="1:18" ht="37.5" customHeight="1" x14ac:dyDescent="0.3">
      <c r="A64" s="957" t="s">
        <v>102</v>
      </c>
      <c r="B64" s="957"/>
      <c r="C64" s="957"/>
      <c r="D64" s="957"/>
      <c r="E64" s="957"/>
      <c r="F64" s="957"/>
      <c r="G64" s="957"/>
    </row>
    <row r="65" spans="1:10" ht="20.25" x14ac:dyDescent="0.3">
      <c r="A65" s="27"/>
      <c r="B65" s="27"/>
      <c r="C65" s="27"/>
      <c r="D65" s="27"/>
      <c r="E65" s="27"/>
      <c r="F65" s="27"/>
      <c r="G65" s="27"/>
    </row>
    <row r="66" spans="1:10" ht="49.5" customHeight="1" x14ac:dyDescent="0.25">
      <c r="A66" s="959" t="s">
        <v>101</v>
      </c>
      <c r="B66" s="959"/>
      <c r="C66" s="959"/>
      <c r="D66" s="959"/>
      <c r="E66" s="959"/>
      <c r="F66" s="959"/>
      <c r="G66" s="959"/>
    </row>
    <row r="67" spans="1:10" ht="25.5" x14ac:dyDescent="0.2">
      <c r="A67" s="223" t="s">
        <v>95</v>
      </c>
      <c r="B67" s="223" t="s">
        <v>94</v>
      </c>
      <c r="C67" s="223" t="s">
        <v>93</v>
      </c>
      <c r="D67" s="223" t="s">
        <v>92</v>
      </c>
      <c r="E67" s="223" t="s">
        <v>91</v>
      </c>
      <c r="F67" s="223" t="s">
        <v>90</v>
      </c>
      <c r="G67" s="223" t="s">
        <v>89</v>
      </c>
    </row>
    <row r="68" spans="1:10" x14ac:dyDescent="0.2">
      <c r="A68" s="21">
        <f>M11</f>
        <v>4.3</v>
      </c>
      <c r="B68" s="21">
        <f>P11</f>
        <v>14201.61</v>
      </c>
      <c r="C68" s="21">
        <f>Q11</f>
        <v>1</v>
      </c>
      <c r="D68" s="21">
        <v>9</v>
      </c>
      <c r="E68" s="21">
        <v>1</v>
      </c>
      <c r="F68" s="31">
        <f>ROUND((A68*B68*C68)*D68,0)</f>
        <v>549602</v>
      </c>
      <c r="G68" s="31">
        <f>ROUND(F68*30.2%,0)</f>
        <v>165980</v>
      </c>
    </row>
    <row r="69" spans="1:10" ht="12.6" customHeight="1" x14ac:dyDescent="0.2">
      <c r="A69" s="21">
        <f>M15</f>
        <v>4.3</v>
      </c>
      <c r="B69" s="21">
        <f>P15</f>
        <v>14411.4</v>
      </c>
      <c r="C69" s="21">
        <f>Q15</f>
        <v>1</v>
      </c>
      <c r="D69" s="21">
        <v>3</v>
      </c>
      <c r="E69" s="21">
        <v>1</v>
      </c>
      <c r="F69" s="31">
        <f>ROUND((A69*B69*C69)*D69,0)</f>
        <v>185907</v>
      </c>
      <c r="G69" s="31">
        <f t="shared" ref="G69" si="3">ROUND(F69*30.2%,0)</f>
        <v>56144</v>
      </c>
    </row>
    <row r="70" spans="1:10" x14ac:dyDescent="0.2">
      <c r="A70" s="742" t="s">
        <v>533</v>
      </c>
      <c r="B70" s="302"/>
      <c r="C70" s="302"/>
      <c r="D70" s="21"/>
      <c r="E70" s="21"/>
      <c r="F70" s="31">
        <v>5418</v>
      </c>
      <c r="G70" s="31">
        <f>ROUND(F70*30.2%,0)</f>
        <v>1636</v>
      </c>
    </row>
    <row r="71" spans="1:10" x14ac:dyDescent="0.2">
      <c r="A71" s="742">
        <v>1210571053</v>
      </c>
      <c r="B71" s="333"/>
      <c r="C71" s="333"/>
      <c r="D71" s="333"/>
      <c r="E71" s="333"/>
      <c r="F71" s="31">
        <v>102935</v>
      </c>
      <c r="G71" s="31">
        <f t="shared" ref="G71" si="4">ROUND(F71*30.2%,0)</f>
        <v>31086</v>
      </c>
    </row>
    <row r="72" spans="1:10" x14ac:dyDescent="0.2">
      <c r="A72" s="21" t="s">
        <v>88</v>
      </c>
      <c r="B72" s="21"/>
      <c r="C72" s="21"/>
      <c r="D72" s="21"/>
      <c r="E72" s="21"/>
      <c r="F72" s="31">
        <f>SUM(F68:F71)</f>
        <v>843862</v>
      </c>
      <c r="G72" s="31">
        <f>SUM(G68:G71)</f>
        <v>254846</v>
      </c>
    </row>
    <row r="73" spans="1:10" ht="13.5" thickBot="1" x14ac:dyDescent="0.25"/>
    <row r="74" spans="1:10" ht="102" x14ac:dyDescent="0.2">
      <c r="A74" s="222" t="s">
        <v>100</v>
      </c>
      <c r="B74" s="214" t="s">
        <v>99</v>
      </c>
      <c r="C74" s="214" t="s">
        <v>92</v>
      </c>
      <c r="D74" s="215" t="s">
        <v>98</v>
      </c>
      <c r="G74" s="12" t="s">
        <v>97</v>
      </c>
    </row>
    <row r="75" spans="1:10" ht="13.5" thickBot="1" x14ac:dyDescent="0.25">
      <c r="A75" s="20">
        <v>50</v>
      </c>
      <c r="B75" s="178">
        <v>1</v>
      </c>
      <c r="C75" s="19">
        <v>12</v>
      </c>
      <c r="D75" s="26">
        <f>A75*B75*C75</f>
        <v>600</v>
      </c>
    </row>
    <row r="77" spans="1:10" s="317" customFormat="1" ht="60" customHeight="1" thickBot="1" x14ac:dyDescent="0.3">
      <c r="A77" s="965" t="s">
        <v>305</v>
      </c>
      <c r="B77" s="965"/>
      <c r="C77" s="965"/>
      <c r="D77" s="965"/>
      <c r="E77" s="965"/>
      <c r="F77" s="965"/>
      <c r="G77" s="965"/>
      <c r="H77" s="316"/>
      <c r="I77" s="316"/>
      <c r="J77" s="316"/>
    </row>
    <row r="78" spans="1:10" s="317" customFormat="1" ht="15" x14ac:dyDescent="0.25">
      <c r="A78" s="318" t="s">
        <v>110</v>
      </c>
      <c r="B78" s="988" t="s">
        <v>125</v>
      </c>
      <c r="C78" s="989"/>
      <c r="D78" s="990" t="s">
        <v>107</v>
      </c>
      <c r="E78" s="991"/>
      <c r="F78" s="316"/>
      <c r="G78" s="316"/>
      <c r="H78" s="316"/>
      <c r="I78" s="316"/>
      <c r="J78" s="316"/>
    </row>
    <row r="79" spans="1:10" s="317" customFormat="1" x14ac:dyDescent="0.2">
      <c r="A79" s="319">
        <v>226</v>
      </c>
      <c r="B79" s="982">
        <f>IF(D79=0,0,ROUND(D79/('проверка 2020'!I4+'проверка 2020'!J4+'проверка 2020'!K4+'проверка 2020'!L4+'проверка 2020'!M4+'проверка 2020'!N4+'проверка 2020'!O4),2))</f>
        <v>0</v>
      </c>
      <c r="C79" s="983"/>
      <c r="D79" s="984">
        <f>'проверка 2020'!C31</f>
        <v>0</v>
      </c>
      <c r="E79" s="985"/>
      <c r="F79" s="316"/>
      <c r="G79" s="316"/>
      <c r="H79" s="316"/>
      <c r="I79" s="316"/>
      <c r="J79" s="316"/>
    </row>
    <row r="80" spans="1:10" s="317" customFormat="1" ht="13.5" thickBot="1" x14ac:dyDescent="0.25">
      <c r="A80" s="320">
        <v>340</v>
      </c>
      <c r="B80" s="961">
        <f>IF(D80=0,0,ROUND(D80/('[1]проверка 2017'!H17+'[1]проверка 2017'!I17),2))</f>
        <v>0</v>
      </c>
      <c r="C80" s="962"/>
      <c r="D80" s="963">
        <f>'проверка 2020'!C32</f>
        <v>0</v>
      </c>
      <c r="E80" s="964"/>
      <c r="F80" s="316"/>
      <c r="G80" s="316"/>
      <c r="H80" s="316"/>
      <c r="I80" s="316"/>
      <c r="J80" s="316"/>
    </row>
    <row r="81" spans="1:11" x14ac:dyDescent="0.2">
      <c r="K81" s="12"/>
    </row>
    <row r="82" spans="1:11" ht="55.5" customHeight="1" thickBot="1" x14ac:dyDescent="0.3">
      <c r="A82" s="959" t="s">
        <v>96</v>
      </c>
      <c r="B82" s="959"/>
      <c r="C82" s="959"/>
      <c r="D82" s="959"/>
      <c r="E82" s="959"/>
      <c r="F82" s="959"/>
      <c r="G82" s="959"/>
      <c r="K82" s="12"/>
    </row>
    <row r="83" spans="1:11" ht="25.5" x14ac:dyDescent="0.2">
      <c r="A83" s="222" t="s">
        <v>95</v>
      </c>
      <c r="B83" s="214" t="s">
        <v>94</v>
      </c>
      <c r="C83" s="214" t="s">
        <v>93</v>
      </c>
      <c r="D83" s="214" t="s">
        <v>92</v>
      </c>
      <c r="E83" s="214" t="s">
        <v>91</v>
      </c>
      <c r="F83" s="214" t="s">
        <v>90</v>
      </c>
      <c r="G83" s="215" t="s">
        <v>89</v>
      </c>
      <c r="K83" s="12"/>
    </row>
    <row r="84" spans="1:11" x14ac:dyDescent="0.2">
      <c r="A84" s="22">
        <f>M24</f>
        <v>13.499000000000002</v>
      </c>
      <c r="B84" s="21">
        <f>Q24</f>
        <v>20681.32</v>
      </c>
      <c r="C84" s="21">
        <f>R24</f>
        <v>1.028896237149469</v>
      </c>
      <c r="D84" s="21">
        <v>7</v>
      </c>
      <c r="E84" s="21">
        <v>1</v>
      </c>
      <c r="F84" s="24">
        <f>ROUND((A84*B84*C84)*D84*E84,0)</f>
        <v>2010710</v>
      </c>
      <c r="G84" s="23">
        <f>ROUND(F84*30.2%,0)</f>
        <v>607234</v>
      </c>
    </row>
    <row r="85" spans="1:11" x14ac:dyDescent="0.2">
      <c r="A85" s="22">
        <f>M32</f>
        <v>13.499000000000002</v>
      </c>
      <c r="B85" s="21">
        <f>Q32</f>
        <v>20681.32</v>
      </c>
      <c r="C85" s="21">
        <f>R32</f>
        <v>1.0647157837184258</v>
      </c>
      <c r="D85" s="21">
        <v>1</v>
      </c>
      <c r="E85" s="21">
        <v>1</v>
      </c>
      <c r="F85" s="301">
        <f>ROUND((A85*B85*C85)*D85*E85,0)+1</f>
        <v>297245</v>
      </c>
      <c r="G85" s="23">
        <f>ROUND(F85*30.2%,0)-1</f>
        <v>89767</v>
      </c>
    </row>
    <row r="86" spans="1:11" x14ac:dyDescent="0.2">
      <c r="A86" s="22">
        <f>M36</f>
        <v>13.499000000000002</v>
      </c>
      <c r="B86" s="21">
        <f>B85</f>
        <v>20681.32</v>
      </c>
      <c r="C86" s="21">
        <f>R36</f>
        <v>1.0378842210527379</v>
      </c>
      <c r="D86" s="21">
        <v>1</v>
      </c>
      <c r="E86" s="21">
        <v>1</v>
      </c>
      <c r="F86" s="301">
        <f>ROUND((A86*B86*C86)*D86*E86,0)</f>
        <v>289754</v>
      </c>
      <c r="G86" s="23">
        <f>ROUND(F86*30.2%,0)</f>
        <v>87506</v>
      </c>
    </row>
    <row r="87" spans="1:11" x14ac:dyDescent="0.2">
      <c r="A87" s="22">
        <f>M42</f>
        <v>13.499000000000002</v>
      </c>
      <c r="B87" s="759">
        <f>B86</f>
        <v>20681.32</v>
      </c>
      <c r="C87" s="759">
        <f>R42</f>
        <v>1.0378842210527379</v>
      </c>
      <c r="D87" s="311">
        <v>3</v>
      </c>
      <c r="E87" s="311">
        <v>1</v>
      </c>
      <c r="F87" s="24">
        <f>ROUND((A87*B87*C87)*D87*E87,0)</f>
        <v>869261</v>
      </c>
      <c r="G87" s="23">
        <f>ROUND(F87*30.2%,0)</f>
        <v>262517</v>
      </c>
    </row>
    <row r="88" spans="1:11" ht="38.25" x14ac:dyDescent="0.2">
      <c r="A88" s="22">
        <f>M47</f>
        <v>0</v>
      </c>
      <c r="B88" s="21" t="s">
        <v>308</v>
      </c>
      <c r="C88" s="21">
        <f>R47</f>
        <v>0</v>
      </c>
      <c r="D88" s="21"/>
      <c r="E88" s="21"/>
      <c r="F88" s="21"/>
      <c r="G88" s="324">
        <f>(-D96-D97)</f>
        <v>0</v>
      </c>
    </row>
    <row r="89" spans="1:11" x14ac:dyDescent="0.2">
      <c r="A89" s="22">
        <f>M41</f>
        <v>35.610999999999997</v>
      </c>
      <c r="B89" s="302"/>
      <c r="C89" s="40"/>
      <c r="D89" s="302"/>
      <c r="E89" s="302"/>
      <c r="F89" s="301">
        <f>ROUND((A89*B89*C89)*D89*E89,0)</f>
        <v>0</v>
      </c>
      <c r="G89" s="23">
        <f t="shared" ref="G89" si="5">ROUND(F89*30.2%,0)</f>
        <v>0</v>
      </c>
    </row>
    <row r="90" spans="1:11" ht="13.5" thickBot="1" x14ac:dyDescent="0.25">
      <c r="A90" s="20" t="s">
        <v>88</v>
      </c>
      <c r="B90" s="19"/>
      <c r="C90" s="19"/>
      <c r="D90" s="19"/>
      <c r="E90" s="19"/>
      <c r="F90" s="18">
        <f>SUM(F84:F89)</f>
        <v>3466970</v>
      </c>
      <c r="G90" s="17">
        <f>SUM(G84:G89)</f>
        <v>1047024</v>
      </c>
    </row>
    <row r="91" spans="1:11" x14ac:dyDescent="0.2">
      <c r="F91" s="322">
        <f>F90+F38</f>
        <v>13295611</v>
      </c>
      <c r="G91" s="322">
        <f>G90+G38</f>
        <v>4015274</v>
      </c>
    </row>
    <row r="92" spans="1:11" x14ac:dyDescent="0.2">
      <c r="F92" s="316"/>
      <c r="G92" s="322">
        <f>G91-'проверка 2020'!C8</f>
        <v>0</v>
      </c>
    </row>
    <row r="94" spans="1:11" s="317" customFormat="1" ht="60" customHeight="1" thickBot="1" x14ac:dyDescent="0.3">
      <c r="A94" s="965" t="s">
        <v>304</v>
      </c>
      <c r="B94" s="965"/>
      <c r="C94" s="965"/>
      <c r="D94" s="965"/>
      <c r="E94" s="965"/>
      <c r="F94" s="965"/>
      <c r="G94" s="965"/>
      <c r="H94" s="316"/>
      <c r="I94" s="316"/>
      <c r="J94" s="316"/>
    </row>
    <row r="95" spans="1:11" s="317" customFormat="1" ht="15" x14ac:dyDescent="0.25">
      <c r="A95" s="318" t="s">
        <v>110</v>
      </c>
      <c r="B95" s="988" t="s">
        <v>125</v>
      </c>
      <c r="C95" s="989"/>
      <c r="D95" s="990" t="s">
        <v>107</v>
      </c>
      <c r="E95" s="991"/>
      <c r="F95" s="316"/>
      <c r="G95" s="316"/>
      <c r="H95" s="316"/>
      <c r="I95" s="316"/>
      <c r="J95" s="316"/>
    </row>
    <row r="96" spans="1:11" s="317" customFormat="1" x14ac:dyDescent="0.2">
      <c r="A96" s="319">
        <v>226</v>
      </c>
      <c r="B96" s="982">
        <f>IF(D96=0,0,ROUND(D96/('проверка 2020'!I4+'проверка 2020'!J4+'проверка 2020'!K4+'проверка 2020'!L4+'проверка 2020'!M4+'проверка 2020'!N4+'проверка 2020'!O4),2))</f>
        <v>0</v>
      </c>
      <c r="C96" s="983"/>
      <c r="D96" s="984">
        <f>'проверка 2020'!C15</f>
        <v>0</v>
      </c>
      <c r="E96" s="985"/>
      <c r="F96" s="316"/>
      <c r="G96" s="316"/>
      <c r="H96" s="316"/>
      <c r="I96" s="316"/>
      <c r="J96" s="316"/>
    </row>
    <row r="97" spans="1:10" s="317" customFormat="1" ht="13.5" thickBot="1" x14ac:dyDescent="0.25">
      <c r="A97" s="320">
        <v>340</v>
      </c>
      <c r="B97" s="961">
        <f>IF(D97=0,0,ROUND(D97/('проверка 2020'!I4+'проверка 2020'!J4+'проверка 2020'!K4+'проверка 2020'!L4+'проверка 2020'!M4+'проверка 2020'!N4+'проверка 2020'!O4),2))</f>
        <v>0</v>
      </c>
      <c r="C97" s="962"/>
      <c r="D97" s="963">
        <f>'проверка 2020'!C16</f>
        <v>0</v>
      </c>
      <c r="E97" s="964"/>
      <c r="F97" s="316"/>
      <c r="G97" s="316"/>
      <c r="H97" s="316"/>
      <c r="I97" s="316"/>
      <c r="J97" s="316"/>
    </row>
    <row r="104" spans="1:10" ht="15" x14ac:dyDescent="0.25">
      <c r="A104" s="15" t="s">
        <v>577</v>
      </c>
      <c r="B104" s="70"/>
      <c r="D104" s="211" t="s">
        <v>578</v>
      </c>
      <c r="E104" s="761"/>
      <c r="F104" s="15"/>
      <c r="G104" s="13"/>
    </row>
    <row r="105" spans="1:10" x14ac:dyDescent="0.2">
      <c r="A105" s="67"/>
      <c r="B105" s="67"/>
      <c r="D105" s="67"/>
      <c r="E105" s="14"/>
      <c r="F105" s="11"/>
      <c r="G105" s="13"/>
    </row>
    <row r="106" spans="1:10" ht="15" x14ac:dyDescent="0.25">
      <c r="A106" s="11" t="s">
        <v>579</v>
      </c>
      <c r="B106" s="67"/>
      <c r="D106" s="212" t="s">
        <v>580</v>
      </c>
      <c r="E106" s="761"/>
      <c r="F106" s="11"/>
      <c r="G106" s="13"/>
    </row>
    <row r="107" spans="1:10" x14ac:dyDescent="0.2">
      <c r="J107" s="35"/>
    </row>
  </sheetData>
  <mergeCells count="45">
    <mergeCell ref="D52:E52"/>
    <mergeCell ref="D46:E46"/>
    <mergeCell ref="A31:G31"/>
    <mergeCell ref="A40:G40"/>
    <mergeCell ref="B95:C95"/>
    <mergeCell ref="D95:E95"/>
    <mergeCell ref="D43:E43"/>
    <mergeCell ref="B96:C96"/>
    <mergeCell ref="D96:E96"/>
    <mergeCell ref="A82:G82"/>
    <mergeCell ref="D45:E45"/>
    <mergeCell ref="D47:E47"/>
    <mergeCell ref="A64:G64"/>
    <mergeCell ref="A66:G66"/>
    <mergeCell ref="A77:G77"/>
    <mergeCell ref="B78:C78"/>
    <mergeCell ref="D78:E78"/>
    <mergeCell ref="B79:C79"/>
    <mergeCell ref="D79:E79"/>
    <mergeCell ref="B80:C80"/>
    <mergeCell ref="D80:E80"/>
    <mergeCell ref="D56:E56"/>
    <mergeCell ref="D58:E58"/>
    <mergeCell ref="B97:C97"/>
    <mergeCell ref="D97:E97"/>
    <mergeCell ref="A94:G94"/>
    <mergeCell ref="D13:E13"/>
    <mergeCell ref="F63:G63"/>
    <mergeCell ref="D42:E42"/>
    <mergeCell ref="D44:E44"/>
    <mergeCell ref="D14:E14"/>
    <mergeCell ref="D41:E41"/>
    <mergeCell ref="A19:G19"/>
    <mergeCell ref="A49:G49"/>
    <mergeCell ref="B50:C50"/>
    <mergeCell ref="D50:E50"/>
    <mergeCell ref="B51:C51"/>
    <mergeCell ref="D51:E51"/>
    <mergeCell ref="B52:C52"/>
    <mergeCell ref="D12:E12"/>
    <mergeCell ref="F1:G1"/>
    <mergeCell ref="A2:G2"/>
    <mergeCell ref="F3:G3"/>
    <mergeCell ref="A4:G4"/>
    <mergeCell ref="A11:G11"/>
  </mergeCells>
  <pageMargins left="0.59055118110236227" right="0" top="0.74803149606299213" bottom="0.74803149606299213" header="0.31496062992125984" footer="0.31496062992125984"/>
  <pageSetup paperSize="9" scale="79" orientation="portrait" r:id="rId1"/>
  <colBreaks count="1" manualBreakCount="1">
    <brk id="9" max="10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82"/>
  <sheetViews>
    <sheetView view="pageBreakPreview" topLeftCell="A42" zoomScaleNormal="100" zoomScaleSheetLayoutView="100" workbookViewId="0">
      <selection activeCell="O31" sqref="O31"/>
    </sheetView>
  </sheetViews>
  <sheetFormatPr defaultColWidth="9.140625" defaultRowHeight="12.75" x14ac:dyDescent="0.2"/>
  <cols>
    <col min="1" max="1" width="23.42578125" style="11" customWidth="1"/>
    <col min="2" max="2" width="16.85546875" style="11" customWidth="1"/>
    <col min="3" max="4" width="12.85546875" style="11" customWidth="1"/>
    <col min="5" max="5" width="13" style="11" customWidth="1"/>
    <col min="6" max="6" width="11.7109375" style="11" customWidth="1"/>
    <col min="7" max="7" width="10.42578125" style="11" customWidth="1"/>
    <col min="8" max="16384" width="9.140625" style="11"/>
  </cols>
  <sheetData>
    <row r="1" spans="1:7" x14ac:dyDescent="0.2">
      <c r="E1" s="996" t="s">
        <v>147</v>
      </c>
      <c r="F1" s="996"/>
    </row>
    <row r="2" spans="1:7" ht="13.5" thickBot="1" x14ac:dyDescent="0.25">
      <c r="A2" s="997" t="s">
        <v>146</v>
      </c>
      <c r="B2" s="997"/>
      <c r="C2" s="997"/>
      <c r="D2" s="997"/>
      <c r="E2" s="997"/>
      <c r="F2" s="997"/>
    </row>
    <row r="3" spans="1:7" s="65" customFormat="1" ht="13.5" hidden="1" thickBot="1" x14ac:dyDescent="0.25">
      <c r="A3" s="64"/>
      <c r="B3" s="64"/>
      <c r="C3" s="64"/>
      <c r="D3" s="64"/>
      <c r="E3" s="64"/>
      <c r="F3" s="64"/>
      <c r="G3" s="62"/>
    </row>
    <row r="4" spans="1:7" ht="13.5" hidden="1" thickBot="1" x14ac:dyDescent="0.25">
      <c r="A4" s="64"/>
      <c r="B4" s="64"/>
      <c r="C4" s="64"/>
      <c r="D4" s="64"/>
      <c r="E4" s="64"/>
      <c r="F4" s="64"/>
      <c r="G4" s="49"/>
    </row>
    <row r="5" spans="1:7" s="12" customFormat="1" ht="24.75" thickBot="1" x14ac:dyDescent="0.25">
      <c r="A5" s="227"/>
      <c r="B5" s="228" t="s">
        <v>137</v>
      </c>
      <c r="C5" s="228" t="s">
        <v>136</v>
      </c>
      <c r="D5" s="228" t="s">
        <v>92</v>
      </c>
      <c r="E5" s="228" t="s">
        <v>91</v>
      </c>
      <c r="F5" s="229" t="s">
        <v>135</v>
      </c>
      <c r="G5" s="59"/>
    </row>
    <row r="6" spans="1:7" x14ac:dyDescent="0.2">
      <c r="A6" s="744" t="s">
        <v>568</v>
      </c>
      <c r="B6" s="54">
        <v>6759.75</v>
      </c>
      <c r="C6" s="54">
        <v>1</v>
      </c>
      <c r="D6" s="54">
        <v>12</v>
      </c>
      <c r="E6" s="54">
        <v>1</v>
      </c>
      <c r="F6" s="743">
        <f t="shared" ref="F6:F8" si="0">ROUND(B6*C6*D6*E6,2)</f>
        <v>81117</v>
      </c>
      <c r="G6" s="49"/>
    </row>
    <row r="7" spans="1:7" x14ac:dyDescent="0.2">
      <c r="A7" s="203" t="s">
        <v>387</v>
      </c>
      <c r="B7" s="54"/>
      <c r="C7" s="54">
        <v>1</v>
      </c>
      <c r="D7" s="54">
        <v>1</v>
      </c>
      <c r="E7" s="54">
        <v>1</v>
      </c>
      <c r="F7" s="743">
        <f t="shared" si="0"/>
        <v>0</v>
      </c>
      <c r="G7" s="49"/>
    </row>
    <row r="8" spans="1:7" ht="24" x14ac:dyDescent="0.2">
      <c r="A8" s="203" t="s">
        <v>508</v>
      </c>
      <c r="B8" s="54"/>
      <c r="C8" s="54">
        <v>1</v>
      </c>
      <c r="D8" s="54">
        <v>1</v>
      </c>
      <c r="E8" s="54">
        <v>1</v>
      </c>
      <c r="F8" s="334">
        <f t="shared" si="0"/>
        <v>0</v>
      </c>
      <c r="G8" s="49"/>
    </row>
    <row r="9" spans="1:7" x14ac:dyDescent="0.2">
      <c r="A9" s="203" t="s">
        <v>262</v>
      </c>
      <c r="B9" s="760">
        <v>261.2</v>
      </c>
      <c r="C9" s="54">
        <v>1</v>
      </c>
      <c r="D9" s="54">
        <v>12</v>
      </c>
      <c r="E9" s="54">
        <v>1</v>
      </c>
      <c r="F9" s="334">
        <f>ROUND(B9*C9*D9*E9,2)</f>
        <v>3134.4</v>
      </c>
      <c r="G9" s="49"/>
    </row>
    <row r="10" spans="1:7" x14ac:dyDescent="0.2">
      <c r="A10" s="203" t="s">
        <v>263</v>
      </c>
      <c r="B10" s="54">
        <v>662</v>
      </c>
      <c r="C10" s="54">
        <v>1</v>
      </c>
      <c r="D10" s="54">
        <v>12</v>
      </c>
      <c r="E10" s="54">
        <v>1</v>
      </c>
      <c r="F10" s="334">
        <f>ROUND(B10*C10*D10*E10,2)</f>
        <v>7944</v>
      </c>
      <c r="G10" s="49"/>
    </row>
    <row r="11" spans="1:7" x14ac:dyDescent="0.2">
      <c r="A11" s="203" t="s">
        <v>581</v>
      </c>
      <c r="B11" s="54">
        <v>26000</v>
      </c>
      <c r="C11" s="54">
        <v>1</v>
      </c>
      <c r="D11" s="54">
        <v>1</v>
      </c>
      <c r="E11" s="54">
        <v>1</v>
      </c>
      <c r="F11" s="334">
        <f>ROUND(B11*C11*D11*E11,2)</f>
        <v>26000</v>
      </c>
      <c r="G11" s="49"/>
    </row>
    <row r="12" spans="1:7" x14ac:dyDescent="0.2">
      <c r="A12" s="203" t="s">
        <v>509</v>
      </c>
      <c r="B12" s="54"/>
      <c r="C12" s="54">
        <v>2</v>
      </c>
      <c r="D12" s="54">
        <v>12</v>
      </c>
      <c r="E12" s="54">
        <v>1</v>
      </c>
      <c r="F12" s="334">
        <f t="shared" ref="F12:F20" si="1">ROUND(B12*C12*D12*E12,2)</f>
        <v>0</v>
      </c>
      <c r="G12" s="49"/>
    </row>
    <row r="13" spans="1:7" ht="24" x14ac:dyDescent="0.2">
      <c r="A13" s="203" t="s">
        <v>264</v>
      </c>
      <c r="B13" s="54">
        <v>1648</v>
      </c>
      <c r="C13" s="54">
        <v>1</v>
      </c>
      <c r="D13" s="54">
        <v>12</v>
      </c>
      <c r="E13" s="54">
        <v>1</v>
      </c>
      <c r="F13" s="334">
        <f t="shared" si="1"/>
        <v>19776</v>
      </c>
      <c r="G13" s="49"/>
    </row>
    <row r="14" spans="1:7" x14ac:dyDescent="0.2">
      <c r="A14" s="203" t="s">
        <v>239</v>
      </c>
      <c r="B14" s="54"/>
      <c r="C14" s="54">
        <v>1</v>
      </c>
      <c r="D14" s="54">
        <v>12</v>
      </c>
      <c r="E14" s="54">
        <v>1</v>
      </c>
      <c r="F14" s="334">
        <f t="shared" si="1"/>
        <v>0</v>
      </c>
      <c r="G14" s="49"/>
    </row>
    <row r="15" spans="1:7" ht="24" x14ac:dyDescent="0.2">
      <c r="A15" s="203" t="s">
        <v>510</v>
      </c>
      <c r="B15" s="54"/>
      <c r="C15" s="54">
        <v>1</v>
      </c>
      <c r="D15" s="54">
        <v>1</v>
      </c>
      <c r="E15" s="54">
        <v>1</v>
      </c>
      <c r="F15" s="334">
        <f t="shared" si="1"/>
        <v>0</v>
      </c>
      <c r="G15" s="49"/>
    </row>
    <row r="16" spans="1:7" ht="24" x14ac:dyDescent="0.2">
      <c r="A16" s="203" t="s">
        <v>144</v>
      </c>
      <c r="B16" s="54"/>
      <c r="C16" s="54">
        <v>1</v>
      </c>
      <c r="D16" s="54">
        <v>1</v>
      </c>
      <c r="E16" s="54">
        <v>1</v>
      </c>
      <c r="F16" s="334">
        <f t="shared" si="1"/>
        <v>0</v>
      </c>
      <c r="G16" s="49"/>
    </row>
    <row r="17" spans="1:7" x14ac:dyDescent="0.2">
      <c r="A17" s="203" t="s">
        <v>143</v>
      </c>
      <c r="B17" s="54">
        <v>0</v>
      </c>
      <c r="C17" s="54">
        <v>1</v>
      </c>
      <c r="D17" s="54">
        <v>12</v>
      </c>
      <c r="E17" s="54">
        <v>1</v>
      </c>
      <c r="F17" s="334">
        <f t="shared" si="1"/>
        <v>0</v>
      </c>
      <c r="G17" s="49"/>
    </row>
    <row r="18" spans="1:7" x14ac:dyDescent="0.2">
      <c r="A18" s="203" t="s">
        <v>511</v>
      </c>
      <c r="B18" s="54"/>
      <c r="C18" s="54">
        <v>1</v>
      </c>
      <c r="D18" s="54">
        <v>1</v>
      </c>
      <c r="E18" s="54">
        <v>1</v>
      </c>
      <c r="F18" s="334">
        <f t="shared" si="1"/>
        <v>0</v>
      </c>
      <c r="G18" s="49"/>
    </row>
    <row r="19" spans="1:7" x14ac:dyDescent="0.2">
      <c r="A19" s="203" t="s">
        <v>265</v>
      </c>
      <c r="B19" s="54">
        <v>4000</v>
      </c>
      <c r="C19" s="54">
        <v>1</v>
      </c>
      <c r="D19" s="54">
        <v>1</v>
      </c>
      <c r="E19" s="54">
        <v>1</v>
      </c>
      <c r="F19" s="334">
        <f t="shared" si="1"/>
        <v>4000</v>
      </c>
      <c r="G19" s="49"/>
    </row>
    <row r="20" spans="1:7" x14ac:dyDescent="0.2">
      <c r="A20" s="203" t="s">
        <v>582</v>
      </c>
      <c r="B20" s="54">
        <v>20000</v>
      </c>
      <c r="C20" s="54">
        <v>1</v>
      </c>
      <c r="D20" s="54">
        <v>1</v>
      </c>
      <c r="E20" s="54">
        <v>1</v>
      </c>
      <c r="F20" s="334">
        <f t="shared" si="1"/>
        <v>20000</v>
      </c>
      <c r="G20" s="49"/>
    </row>
    <row r="21" spans="1:7" ht="36" x14ac:dyDescent="0.2">
      <c r="A21" s="203" t="s">
        <v>309</v>
      </c>
      <c r="B21" s="54"/>
      <c r="C21" s="54"/>
      <c r="D21" s="54"/>
      <c r="E21" s="54"/>
      <c r="F21" s="334">
        <f t="shared" ref="F21:F27" si="2">ROUND(B21*C21*D21*E21,2)</f>
        <v>0</v>
      </c>
      <c r="G21" s="49"/>
    </row>
    <row r="22" spans="1:7" ht="22.5" customHeight="1" x14ac:dyDescent="0.2">
      <c r="A22" s="204" t="s">
        <v>141</v>
      </c>
      <c r="B22" s="54">
        <v>1100</v>
      </c>
      <c r="C22" s="54">
        <v>1</v>
      </c>
      <c r="D22" s="54">
        <v>12</v>
      </c>
      <c r="E22" s="54">
        <v>1</v>
      </c>
      <c r="F22" s="334">
        <f t="shared" si="2"/>
        <v>13200</v>
      </c>
      <c r="G22" s="49"/>
    </row>
    <row r="23" spans="1:7" ht="26.25" customHeight="1" x14ac:dyDescent="0.2">
      <c r="A23" s="204" t="s">
        <v>512</v>
      </c>
      <c r="B23" s="54"/>
      <c r="C23" s="54"/>
      <c r="D23" s="54"/>
      <c r="E23" s="54"/>
      <c r="F23" s="334">
        <f t="shared" si="2"/>
        <v>0</v>
      </c>
      <c r="G23" s="332"/>
    </row>
    <row r="24" spans="1:7" ht="26.25" customHeight="1" x14ac:dyDescent="0.2">
      <c r="A24" s="203" t="s">
        <v>143</v>
      </c>
      <c r="B24" s="54">
        <v>1065.8</v>
      </c>
      <c r="C24" s="54">
        <v>1</v>
      </c>
      <c r="D24" s="54">
        <v>12</v>
      </c>
      <c r="E24" s="54">
        <v>1</v>
      </c>
      <c r="F24" s="334">
        <f>ROUND(B24*C24*D24*E24,2)+0.4</f>
        <v>12790</v>
      </c>
      <c r="G24" s="49"/>
    </row>
    <row r="25" spans="1:7" ht="24.75" thickBot="1" x14ac:dyDescent="0.25">
      <c r="A25" s="205" t="s">
        <v>267</v>
      </c>
      <c r="B25" s="51">
        <v>1605.26</v>
      </c>
      <c r="C25" s="51">
        <v>1</v>
      </c>
      <c r="D25" s="51">
        <v>12</v>
      </c>
      <c r="E25" s="51">
        <v>1</v>
      </c>
      <c r="F25" s="334">
        <f t="shared" si="2"/>
        <v>19263.12</v>
      </c>
      <c r="G25" s="49"/>
    </row>
    <row r="26" spans="1:7" ht="24.75" thickBot="1" x14ac:dyDescent="0.25">
      <c r="A26" s="205" t="s">
        <v>267</v>
      </c>
      <c r="B26" s="51"/>
      <c r="C26" s="51">
        <v>1</v>
      </c>
      <c r="D26" s="51">
        <v>1</v>
      </c>
      <c r="E26" s="51">
        <v>1</v>
      </c>
      <c r="F26" s="334">
        <f>ROUND(B26*C26*D26*E26,2)</f>
        <v>0</v>
      </c>
      <c r="G26" s="49"/>
    </row>
    <row r="27" spans="1:7" ht="0.6" customHeight="1" x14ac:dyDescent="0.2">
      <c r="A27" s="63"/>
      <c r="B27" s="62"/>
      <c r="C27" s="62"/>
      <c r="D27" s="62"/>
      <c r="E27" s="62"/>
      <c r="F27" s="202">
        <f t="shared" si="2"/>
        <v>0</v>
      </c>
      <c r="G27" s="49"/>
    </row>
    <row r="28" spans="1:7" x14ac:dyDescent="0.2">
      <c r="A28" s="63"/>
      <c r="B28" s="62"/>
      <c r="C28" s="62"/>
      <c r="D28" s="62"/>
      <c r="E28" s="62"/>
      <c r="F28" s="202">
        <f>ROUND(B28*C28*D28*E28,2)</f>
        <v>0</v>
      </c>
      <c r="G28" s="49"/>
    </row>
    <row r="29" spans="1:7" x14ac:dyDescent="0.2">
      <c r="A29" s="59"/>
      <c r="B29" s="49"/>
      <c r="C29" s="49"/>
      <c r="D29" s="49"/>
      <c r="E29" s="49"/>
      <c r="F29" s="202">
        <f>ROUND(B29*C29*D29*E29,2)</f>
        <v>0</v>
      </c>
      <c r="G29" s="49"/>
    </row>
    <row r="30" spans="1:7" ht="15.75" customHeight="1" x14ac:dyDescent="0.2">
      <c r="A30" s="998" t="s">
        <v>140</v>
      </c>
      <c r="B30" s="998"/>
      <c r="C30" s="998"/>
      <c r="D30" s="998"/>
      <c r="E30" s="998"/>
      <c r="F30" s="998"/>
      <c r="G30" s="49"/>
    </row>
    <row r="31" spans="1:7" ht="13.5" thickBot="1" x14ac:dyDescent="0.25">
      <c r="A31" s="59"/>
      <c r="B31" s="49"/>
      <c r="C31" s="49"/>
      <c r="D31" s="49"/>
      <c r="E31" s="49"/>
      <c r="F31" s="332">
        <f>F6+F7+F8+F9+F10+F11+F12+F13+F14+F15+F16+F17+F18+F20+F22+F23+F25+F26</f>
        <v>190434.52</v>
      </c>
      <c r="G31" s="49"/>
    </row>
    <row r="32" spans="1:7" ht="24" x14ac:dyDescent="0.2">
      <c r="A32" s="227"/>
      <c r="B32" s="228" t="s">
        <v>137</v>
      </c>
      <c r="C32" s="228" t="s">
        <v>136</v>
      </c>
      <c r="D32" s="228" t="s">
        <v>92</v>
      </c>
      <c r="E32" s="228" t="s">
        <v>91</v>
      </c>
      <c r="F32" s="229" t="s">
        <v>135</v>
      </c>
      <c r="G32" s="49"/>
    </row>
    <row r="33" spans="1:7" ht="24" x14ac:dyDescent="0.2">
      <c r="A33" s="56" t="s">
        <v>279</v>
      </c>
      <c r="B33" s="54">
        <v>252</v>
      </c>
      <c r="C33" s="54">
        <v>1</v>
      </c>
      <c r="D33" s="54">
        <v>12</v>
      </c>
      <c r="E33" s="54">
        <v>1</v>
      </c>
      <c r="F33" s="61">
        <f>ROUND(B33*C33*D33*E33,2)</f>
        <v>3024</v>
      </c>
      <c r="G33" s="49"/>
    </row>
    <row r="34" spans="1:7" x14ac:dyDescent="0.2">
      <c r="A34" s="56" t="s">
        <v>310</v>
      </c>
      <c r="B34" s="54">
        <v>0.62</v>
      </c>
      <c r="C34" s="54">
        <v>10698</v>
      </c>
      <c r="D34" s="54">
        <v>1</v>
      </c>
      <c r="E34" s="54">
        <v>1</v>
      </c>
      <c r="F34" s="61">
        <f>ROUND(B34*C34*D34*E34,2)+0.24</f>
        <v>6633</v>
      </c>
      <c r="G34" s="49"/>
    </row>
    <row r="35" spans="1:7" ht="12.6" customHeight="1" x14ac:dyDescent="0.2">
      <c r="A35" s="56" t="s">
        <v>513</v>
      </c>
      <c r="B35" s="54"/>
      <c r="C35" s="54"/>
      <c r="D35" s="54">
        <v>1</v>
      </c>
      <c r="E35" s="54">
        <v>1</v>
      </c>
      <c r="F35" s="61">
        <f t="shared" ref="F35:F39" si="3">ROUND(B35*C35*D35*E35,2)</f>
        <v>0</v>
      </c>
      <c r="G35" s="49"/>
    </row>
    <row r="36" spans="1:7" x14ac:dyDescent="0.2">
      <c r="A36" s="56" t="s">
        <v>514</v>
      </c>
      <c r="B36" s="54">
        <v>1195.17</v>
      </c>
      <c r="C36" s="54">
        <v>1</v>
      </c>
      <c r="D36" s="54">
        <v>12</v>
      </c>
      <c r="E36" s="54">
        <v>1</v>
      </c>
      <c r="F36" s="61">
        <f>ROUND(B36*C36*D36*E36,2)-0.04</f>
        <v>14342</v>
      </c>
      <c r="G36" s="49"/>
    </row>
    <row r="37" spans="1:7" x14ac:dyDescent="0.2">
      <c r="A37" s="56" t="s">
        <v>514</v>
      </c>
      <c r="B37" s="54"/>
      <c r="C37" s="54"/>
      <c r="D37" s="54">
        <v>12</v>
      </c>
      <c r="E37" s="54">
        <v>1</v>
      </c>
      <c r="F37" s="61">
        <f t="shared" si="3"/>
        <v>0</v>
      </c>
      <c r="G37" s="49"/>
    </row>
    <row r="38" spans="1:7" x14ac:dyDescent="0.2">
      <c r="A38" s="56" t="s">
        <v>514</v>
      </c>
      <c r="B38" s="54"/>
      <c r="C38" s="54"/>
      <c r="D38" s="54">
        <v>1</v>
      </c>
      <c r="E38" s="54">
        <v>1</v>
      </c>
      <c r="F38" s="61">
        <f t="shared" si="3"/>
        <v>0</v>
      </c>
      <c r="G38" s="49"/>
    </row>
    <row r="39" spans="1:7" ht="24" x14ac:dyDescent="0.2">
      <c r="A39" s="56" t="s">
        <v>279</v>
      </c>
      <c r="B39" s="54"/>
      <c r="C39" s="54"/>
      <c r="D39" s="54">
        <v>1</v>
      </c>
      <c r="E39" s="54">
        <v>1</v>
      </c>
      <c r="F39" s="61">
        <f t="shared" si="3"/>
        <v>0</v>
      </c>
      <c r="G39" s="49"/>
    </row>
    <row r="40" spans="1:7" ht="13.5" thickBot="1" x14ac:dyDescent="0.25">
      <c r="A40" s="60" t="s">
        <v>88</v>
      </c>
      <c r="B40" s="51"/>
      <c r="C40" s="51"/>
      <c r="D40" s="51"/>
      <c r="E40" s="51"/>
      <c r="F40" s="243">
        <f>F33+F35+F34+F36+F37+F39</f>
        <v>23999</v>
      </c>
      <c r="G40" s="49"/>
    </row>
    <row r="41" spans="1:7" ht="24.75" hidden="1" thickBot="1" x14ac:dyDescent="0.25">
      <c r="A41" s="240" t="s">
        <v>139</v>
      </c>
      <c r="B41" s="241"/>
      <c r="C41" s="241"/>
      <c r="D41" s="241"/>
      <c r="E41" s="241"/>
      <c r="F41" s="242">
        <f>ROUND(B41*C41*D41*E41,2)</f>
        <v>0</v>
      </c>
      <c r="G41" s="49"/>
    </row>
    <row r="42" spans="1:7" x14ac:dyDescent="0.2">
      <c r="A42" s="59"/>
      <c r="B42" s="49"/>
      <c r="C42" s="49"/>
      <c r="D42" s="49"/>
      <c r="E42" s="49"/>
      <c r="F42" s="49"/>
      <c r="G42" s="49"/>
    </row>
    <row r="43" spans="1:7" x14ac:dyDescent="0.2">
      <c r="A43" s="49"/>
      <c r="B43" s="49"/>
      <c r="C43" s="49"/>
      <c r="D43" s="49"/>
      <c r="E43" s="49"/>
      <c r="F43" s="49"/>
      <c r="G43" s="49"/>
    </row>
    <row r="44" spans="1:7" x14ac:dyDescent="0.2">
      <c r="A44" s="999" t="s">
        <v>138</v>
      </c>
      <c r="B44" s="1000"/>
      <c r="C44" s="1000"/>
      <c r="D44" s="1000"/>
      <c r="E44" s="1000"/>
      <c r="F44" s="1000"/>
      <c r="G44" s="49"/>
    </row>
    <row r="45" spans="1:7" ht="13.5" thickBot="1" x14ac:dyDescent="0.25">
      <c r="A45" s="49"/>
      <c r="B45" s="49"/>
      <c r="C45" s="49"/>
      <c r="D45" s="49"/>
      <c r="E45" s="49"/>
      <c r="F45" s="49"/>
      <c r="G45" s="49"/>
    </row>
    <row r="46" spans="1:7" ht="24" x14ac:dyDescent="0.2">
      <c r="A46" s="227"/>
      <c r="B46" s="228" t="s">
        <v>137</v>
      </c>
      <c r="C46" s="228" t="s">
        <v>136</v>
      </c>
      <c r="D46" s="228" t="s">
        <v>92</v>
      </c>
      <c r="E46" s="228" t="s">
        <v>91</v>
      </c>
      <c r="F46" s="229" t="s">
        <v>135</v>
      </c>
      <c r="G46" s="49"/>
    </row>
    <row r="47" spans="1:7" x14ac:dyDescent="0.2">
      <c r="A47" s="56" t="s">
        <v>311</v>
      </c>
      <c r="B47" s="54">
        <v>180</v>
      </c>
      <c r="C47" s="54">
        <v>25</v>
      </c>
      <c r="D47" s="54">
        <v>1</v>
      </c>
      <c r="E47" s="54">
        <v>1</v>
      </c>
      <c r="F47" s="226">
        <f t="shared" ref="F47:F50" si="4">ROUND(B47*C47*D47*E47,2)</f>
        <v>4500</v>
      </c>
      <c r="G47" s="49"/>
    </row>
    <row r="48" spans="1:7" x14ac:dyDescent="0.2">
      <c r="A48" s="58" t="s">
        <v>312</v>
      </c>
      <c r="B48" s="57">
        <v>1240</v>
      </c>
      <c r="C48" s="57">
        <v>36</v>
      </c>
      <c r="D48" s="57">
        <v>1</v>
      </c>
      <c r="E48" s="57">
        <v>1</v>
      </c>
      <c r="F48" s="226">
        <f t="shared" si="4"/>
        <v>44640</v>
      </c>
      <c r="G48" s="49"/>
    </row>
    <row r="49" spans="1:7" x14ac:dyDescent="0.2">
      <c r="A49" s="58" t="s">
        <v>313</v>
      </c>
      <c r="B49" s="57">
        <v>1030</v>
      </c>
      <c r="C49" s="57">
        <v>4</v>
      </c>
      <c r="D49" s="57">
        <v>1</v>
      </c>
      <c r="E49" s="57">
        <v>1</v>
      </c>
      <c r="F49" s="226">
        <f t="shared" si="4"/>
        <v>4120</v>
      </c>
      <c r="G49" s="49"/>
    </row>
    <row r="50" spans="1:7" x14ac:dyDescent="0.2">
      <c r="A50" s="58" t="s">
        <v>254</v>
      </c>
      <c r="B50" s="57">
        <v>150</v>
      </c>
      <c r="C50" s="57">
        <v>40</v>
      </c>
      <c r="D50" s="57">
        <v>1</v>
      </c>
      <c r="E50" s="57">
        <v>1</v>
      </c>
      <c r="F50" s="226">
        <f t="shared" si="4"/>
        <v>6000</v>
      </c>
      <c r="G50" s="49"/>
    </row>
    <row r="51" spans="1:7" x14ac:dyDescent="0.2">
      <c r="A51" s="56" t="s">
        <v>88</v>
      </c>
      <c r="B51" s="54"/>
      <c r="C51" s="54"/>
      <c r="D51" s="54"/>
      <c r="E51" s="54"/>
      <c r="F51" s="265">
        <f>F47+F48+F49+F50</f>
        <v>59260</v>
      </c>
      <c r="G51" s="49"/>
    </row>
    <row r="52" spans="1:7" x14ac:dyDescent="0.2">
      <c r="A52" s="56" t="s">
        <v>515</v>
      </c>
      <c r="B52" s="54"/>
      <c r="C52" s="54">
        <v>1</v>
      </c>
      <c r="D52" s="54">
        <v>1</v>
      </c>
      <c r="E52" s="54">
        <v>1</v>
      </c>
      <c r="F52" s="226">
        <f t="shared" ref="F52:F54" si="5">ROUND(B52*C52*D52*E52,2)</f>
        <v>0</v>
      </c>
      <c r="G52" s="49"/>
    </row>
    <row r="53" spans="1:7" ht="24" x14ac:dyDescent="0.2">
      <c r="A53" s="56" t="s">
        <v>298</v>
      </c>
      <c r="B53" s="54">
        <v>2500</v>
      </c>
      <c r="C53" s="54">
        <v>1</v>
      </c>
      <c r="D53" s="54">
        <v>1</v>
      </c>
      <c r="E53" s="54">
        <v>1</v>
      </c>
      <c r="F53" s="226">
        <f t="shared" si="5"/>
        <v>2500</v>
      </c>
      <c r="G53" s="49"/>
    </row>
    <row r="54" spans="1:7" x14ac:dyDescent="0.2">
      <c r="A54" s="56" t="s">
        <v>515</v>
      </c>
      <c r="B54" s="57">
        <v>4450</v>
      </c>
      <c r="C54" s="57">
        <v>1</v>
      </c>
      <c r="D54" s="57">
        <v>1</v>
      </c>
      <c r="E54" s="57">
        <v>1</v>
      </c>
      <c r="F54" s="226">
        <f t="shared" si="5"/>
        <v>4450</v>
      </c>
      <c r="G54" s="49"/>
    </row>
    <row r="55" spans="1:7" ht="16.5" customHeight="1" x14ac:dyDescent="0.2">
      <c r="A55" s="140" t="s">
        <v>501</v>
      </c>
      <c r="B55" s="57"/>
      <c r="C55" s="57"/>
      <c r="D55" s="57"/>
      <c r="E55" s="57"/>
      <c r="F55" s="325">
        <f t="shared" ref="F55:F56" si="6">ROUND(B55*C55*D55*E55,2)</f>
        <v>0</v>
      </c>
      <c r="G55" s="49"/>
    </row>
    <row r="56" spans="1:7" ht="16.5" customHeight="1" x14ac:dyDescent="0.2">
      <c r="A56" s="58" t="s">
        <v>583</v>
      </c>
      <c r="B56" s="57">
        <v>352800</v>
      </c>
      <c r="C56" s="57">
        <v>1</v>
      </c>
      <c r="D56" s="57">
        <v>1</v>
      </c>
      <c r="E56" s="57">
        <v>1</v>
      </c>
      <c r="F56" s="325">
        <f t="shared" si="6"/>
        <v>352800</v>
      </c>
      <c r="G56" s="49"/>
    </row>
    <row r="57" spans="1:7" ht="16.5" hidden="1" customHeight="1" x14ac:dyDescent="0.2">
      <c r="A57" s="58"/>
      <c r="B57" s="57"/>
      <c r="C57" s="57"/>
      <c r="D57" s="57"/>
      <c r="E57" s="57"/>
      <c r="F57" s="325"/>
      <c r="G57" s="49"/>
    </row>
    <row r="58" spans="1:7" hidden="1" x14ac:dyDescent="0.2">
      <c r="A58" s="58"/>
      <c r="B58" s="57"/>
      <c r="C58" s="57"/>
      <c r="D58" s="57"/>
      <c r="E58" s="57"/>
      <c r="F58" s="325"/>
      <c r="G58" s="49"/>
    </row>
    <row r="59" spans="1:7" hidden="1" x14ac:dyDescent="0.2">
      <c r="A59" s="58"/>
      <c r="B59" s="57"/>
      <c r="C59" s="57"/>
      <c r="D59" s="57"/>
      <c r="E59" s="57"/>
      <c r="F59" s="325"/>
      <c r="G59" s="49"/>
    </row>
    <row r="60" spans="1:7" hidden="1" x14ac:dyDescent="0.2">
      <c r="A60" s="58"/>
      <c r="B60" s="57"/>
      <c r="C60" s="57"/>
      <c r="D60" s="57"/>
      <c r="E60" s="57"/>
      <c r="F60" s="325"/>
      <c r="G60" s="49"/>
    </row>
    <row r="61" spans="1:7" hidden="1" x14ac:dyDescent="0.2">
      <c r="A61" s="58"/>
      <c r="B61" s="57"/>
      <c r="C61" s="57"/>
      <c r="D61" s="57"/>
      <c r="E61" s="57"/>
      <c r="F61" s="325"/>
      <c r="G61" s="49"/>
    </row>
    <row r="62" spans="1:7" hidden="1" x14ac:dyDescent="0.2">
      <c r="A62" s="58"/>
      <c r="B62" s="57"/>
      <c r="C62" s="57"/>
      <c r="D62" s="57"/>
      <c r="E62" s="57"/>
      <c r="F62" s="325"/>
      <c r="G62" s="49"/>
    </row>
    <row r="63" spans="1:7" hidden="1" x14ac:dyDescent="0.2">
      <c r="A63" s="58"/>
      <c r="B63" s="57"/>
      <c r="C63" s="57"/>
      <c r="D63" s="57"/>
      <c r="E63" s="57"/>
      <c r="F63" s="325"/>
      <c r="G63" s="49"/>
    </row>
    <row r="64" spans="1:7" hidden="1" x14ac:dyDescent="0.2">
      <c r="A64" s="56"/>
      <c r="B64" s="54"/>
      <c r="C64" s="54"/>
      <c r="D64" s="54"/>
      <c r="E64" s="54"/>
      <c r="F64" s="265"/>
      <c r="G64" s="49"/>
    </row>
    <row r="65" spans="1:82" hidden="1" x14ac:dyDescent="0.2">
      <c r="A65" s="56"/>
      <c r="B65" s="54"/>
      <c r="C65" s="54"/>
      <c r="D65" s="54"/>
      <c r="E65" s="54"/>
      <c r="F65" s="226"/>
      <c r="G65" s="49"/>
    </row>
    <row r="66" spans="1:82" hidden="1" x14ac:dyDescent="0.2">
      <c r="A66" s="56"/>
      <c r="B66" s="54"/>
      <c r="C66" s="54"/>
      <c r="D66" s="54"/>
      <c r="E66" s="54"/>
      <c r="F66" s="226"/>
      <c r="G66" s="49"/>
    </row>
    <row r="67" spans="1:82" hidden="1" x14ac:dyDescent="0.2">
      <c r="A67" s="55"/>
      <c r="B67" s="54"/>
      <c r="C67" s="54" t="s">
        <v>97</v>
      </c>
      <c r="D67" s="54"/>
      <c r="E67" s="54"/>
      <c r="F67" s="53"/>
      <c r="G67" s="49"/>
    </row>
    <row r="68" spans="1:82" hidden="1" x14ac:dyDescent="0.2">
      <c r="A68" s="55"/>
      <c r="B68" s="54"/>
      <c r="C68" s="54"/>
      <c r="D68" s="54"/>
      <c r="E68" s="54"/>
      <c r="F68" s="53"/>
      <c r="G68" s="49"/>
    </row>
    <row r="69" spans="1:82" hidden="1" x14ac:dyDescent="0.2">
      <c r="A69" s="55"/>
      <c r="B69" s="54"/>
      <c r="C69" s="54"/>
      <c r="D69" s="54"/>
      <c r="E69" s="54"/>
      <c r="F69" s="53"/>
      <c r="G69" s="49"/>
    </row>
    <row r="70" spans="1:82" hidden="1" x14ac:dyDescent="0.2">
      <c r="A70" s="55" t="s">
        <v>133</v>
      </c>
      <c r="B70" s="54"/>
      <c r="C70" s="54">
        <v>1</v>
      </c>
      <c r="D70" s="54">
        <v>1</v>
      </c>
      <c r="E70" s="54">
        <v>1</v>
      </c>
      <c r="F70" s="53">
        <f>ROUND(B70*C70*D70*E70,2)</f>
        <v>0</v>
      </c>
      <c r="G70" s="49"/>
    </row>
    <row r="71" spans="1:82" hidden="1" x14ac:dyDescent="0.2">
      <c r="A71" s="56" t="s">
        <v>132</v>
      </c>
      <c r="B71" s="54"/>
      <c r="C71" s="54"/>
      <c r="D71" s="54"/>
      <c r="E71" s="54"/>
      <c r="F71" s="53"/>
      <c r="G71" s="49"/>
    </row>
    <row r="72" spans="1:82" hidden="1" x14ac:dyDescent="0.2">
      <c r="A72" s="55"/>
      <c r="B72" s="54"/>
      <c r="C72" s="54"/>
      <c r="D72" s="54"/>
      <c r="E72" s="54"/>
      <c r="F72" s="53"/>
      <c r="G72" s="49"/>
    </row>
    <row r="73" spans="1:82" hidden="1" x14ac:dyDescent="0.2">
      <c r="A73" s="55"/>
      <c r="B73" s="54"/>
      <c r="C73" s="54"/>
      <c r="D73" s="54"/>
      <c r="E73" s="54"/>
      <c r="F73" s="53"/>
      <c r="G73" s="49"/>
    </row>
    <row r="74" spans="1:82" ht="13.5" thickBot="1" x14ac:dyDescent="0.25">
      <c r="A74" s="52" t="s">
        <v>88</v>
      </c>
      <c r="B74" s="51"/>
      <c r="C74" s="51"/>
      <c r="D74" s="51"/>
      <c r="E74" s="51"/>
      <c r="F74" s="50">
        <f>F51+F52+F53+F54+F56</f>
        <v>419010</v>
      </c>
      <c r="G74" s="49"/>
    </row>
    <row r="75" spans="1:82" x14ac:dyDescent="0.2">
      <c r="A75" s="49"/>
      <c r="B75" s="49"/>
      <c r="C75" s="49"/>
      <c r="D75" s="49"/>
      <c r="E75" s="49"/>
      <c r="F75" s="49"/>
      <c r="G75" s="49"/>
    </row>
    <row r="76" spans="1:82" ht="10.5" customHeight="1" x14ac:dyDescent="0.2">
      <c r="A76" s="49"/>
      <c r="B76" s="49"/>
      <c r="C76" s="49"/>
      <c r="D76" s="49"/>
      <c r="E76" s="49"/>
      <c r="F76" s="49"/>
      <c r="G76" s="49"/>
    </row>
    <row r="77" spans="1:82" x14ac:dyDescent="0.2">
      <c r="A77" s="49"/>
      <c r="B77" s="49"/>
      <c r="C77" s="49"/>
      <c r="D77" s="49"/>
      <c r="E77" s="49"/>
      <c r="F77" s="49"/>
      <c r="G77" s="48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</row>
    <row r="79" spans="1:82" ht="15" x14ac:dyDescent="0.25">
      <c r="A79" s="15" t="s">
        <v>577</v>
      </c>
      <c r="B79" s="70"/>
      <c r="C79" s="211" t="s">
        <v>578</v>
      </c>
      <c r="D79" s="757"/>
      <c r="E79" s="758"/>
      <c r="F79" s="15"/>
      <c r="G79" s="13"/>
      <c r="H79" s="12"/>
      <c r="I79" s="12"/>
      <c r="J79" s="12"/>
    </row>
    <row r="80" spans="1:82" x14ac:dyDescent="0.2">
      <c r="A80" s="67"/>
      <c r="B80" s="67"/>
      <c r="C80" s="67"/>
      <c r="D80" s="67"/>
      <c r="E80" s="14"/>
      <c r="G80" s="13"/>
      <c r="H80" s="12"/>
      <c r="I80" s="12"/>
      <c r="J80" s="35"/>
    </row>
    <row r="81" spans="1:82" ht="15" x14ac:dyDescent="0.25">
      <c r="A81" s="11" t="s">
        <v>579</v>
      </c>
      <c r="B81" s="67"/>
      <c r="C81" s="212" t="s">
        <v>580</v>
      </c>
      <c r="D81" s="941"/>
      <c r="E81" s="942"/>
      <c r="G81" s="13"/>
      <c r="H81" s="12"/>
      <c r="I81" s="12"/>
      <c r="J81" s="12"/>
    </row>
    <row r="82" spans="1:82" x14ac:dyDescent="0.2">
      <c r="A82" s="49"/>
      <c r="B82" s="49"/>
      <c r="C82" s="49"/>
      <c r="D82" s="49"/>
      <c r="E82" s="49"/>
      <c r="F82" s="49"/>
      <c r="G82" s="48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</row>
  </sheetData>
  <mergeCells count="5">
    <mergeCell ref="D81:E81"/>
    <mergeCell ref="E1:F1"/>
    <mergeCell ref="A2:F2"/>
    <mergeCell ref="A30:F30"/>
    <mergeCell ref="A44:F44"/>
  </mergeCells>
  <pageMargins left="0" right="0" top="0.28999999999999998" bottom="0.74803149606299213" header="0.31496062992125984" footer="0.31496062992125984"/>
  <pageSetup paperSize="9" scale="81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52"/>
  <sheetViews>
    <sheetView view="pageBreakPreview" zoomScaleNormal="100" zoomScaleSheetLayoutView="100" workbookViewId="0">
      <selection activeCell="B29" sqref="B29"/>
    </sheetView>
  </sheetViews>
  <sheetFormatPr defaultColWidth="9.140625" defaultRowHeight="12.75" x14ac:dyDescent="0.2"/>
  <cols>
    <col min="1" max="1" width="23.42578125" style="66" customWidth="1"/>
    <col min="2" max="2" width="16.85546875" style="66" customWidth="1"/>
    <col min="3" max="4" width="12.85546875" style="66" customWidth="1"/>
    <col min="5" max="5" width="13" style="66" customWidth="1"/>
    <col min="6" max="6" width="14.42578125" style="66" customWidth="1"/>
    <col min="7" max="16384" width="9.140625" style="66"/>
  </cols>
  <sheetData>
    <row r="1" spans="1:6" x14ac:dyDescent="0.2">
      <c r="E1" s="1003" t="s">
        <v>162</v>
      </c>
      <c r="F1" s="1003"/>
    </row>
    <row r="2" spans="1:6" ht="18.75" x14ac:dyDescent="0.3">
      <c r="A2" s="1004" t="s">
        <v>161</v>
      </c>
      <c r="B2" s="1004"/>
      <c r="C2" s="1004"/>
      <c r="D2" s="1004"/>
      <c r="E2" s="1004"/>
      <c r="F2" s="1004"/>
    </row>
    <row r="3" spans="1:6" s="82" customFormat="1" x14ac:dyDescent="0.2">
      <c r="A3" s="81"/>
      <c r="B3" s="81"/>
      <c r="C3" s="81"/>
      <c r="D3" s="81"/>
      <c r="E3" s="81"/>
      <c r="F3" s="81"/>
    </row>
    <row r="4" spans="1:6" ht="13.5" thickBot="1" x14ac:dyDescent="0.25">
      <c r="A4" s="81"/>
      <c r="B4" s="81"/>
      <c r="C4" s="81"/>
      <c r="D4" s="81"/>
      <c r="E4" s="81"/>
      <c r="F4" s="81"/>
    </row>
    <row r="5" spans="1:6" s="78" customFormat="1" ht="25.5" x14ac:dyDescent="0.2">
      <c r="A5" s="217"/>
      <c r="B5" s="218" t="s">
        <v>137</v>
      </c>
      <c r="C5" s="218" t="s">
        <v>136</v>
      </c>
      <c r="D5" s="218" t="s">
        <v>92</v>
      </c>
      <c r="E5" s="214" t="s">
        <v>91</v>
      </c>
      <c r="F5" s="219" t="s">
        <v>135</v>
      </c>
    </row>
    <row r="6" spans="1:6" x14ac:dyDescent="0.2">
      <c r="A6" s="76" t="s">
        <v>160</v>
      </c>
      <c r="B6" s="74"/>
      <c r="C6" s="74">
        <v>4</v>
      </c>
      <c r="D6" s="74">
        <v>1</v>
      </c>
      <c r="E6" s="74">
        <v>1</v>
      </c>
      <c r="F6" s="73">
        <f>ROUND(B6*C6*D6*E6,2)</f>
        <v>0</v>
      </c>
    </row>
    <row r="7" spans="1:6" x14ac:dyDescent="0.2">
      <c r="A7" s="76" t="s">
        <v>159</v>
      </c>
      <c r="B7" s="74"/>
      <c r="C7" s="74"/>
      <c r="D7" s="74"/>
      <c r="E7" s="74"/>
      <c r="F7" s="73"/>
    </row>
    <row r="8" spans="1:6" hidden="1" x14ac:dyDescent="0.2">
      <c r="A8" s="22" t="s">
        <v>145</v>
      </c>
      <c r="B8" s="74"/>
      <c r="C8" s="74">
        <v>1</v>
      </c>
      <c r="D8" s="74">
        <v>1</v>
      </c>
      <c r="E8" s="74">
        <v>1.0649999999999999</v>
      </c>
      <c r="F8" s="73">
        <f>ROUND(B8*C8*D8*E8,2)</f>
        <v>0</v>
      </c>
    </row>
    <row r="9" spans="1:6" ht="25.5" hidden="1" x14ac:dyDescent="0.2">
      <c r="A9" s="22" t="s">
        <v>158</v>
      </c>
      <c r="B9" s="74"/>
      <c r="C9" s="74"/>
      <c r="D9" s="74">
        <v>12</v>
      </c>
      <c r="E9" s="74">
        <v>1</v>
      </c>
      <c r="F9" s="73">
        <f>ROUND(B9*C9*D9*E9,2)</f>
        <v>0</v>
      </c>
    </row>
    <row r="10" spans="1:6" hidden="1" x14ac:dyDescent="0.2">
      <c r="A10" s="80" t="s">
        <v>157</v>
      </c>
      <c r="B10" s="74"/>
      <c r="C10" s="74"/>
      <c r="D10" s="74"/>
      <c r="E10" s="74"/>
      <c r="F10" s="73">
        <f>SUM(F6:F9)</f>
        <v>0</v>
      </c>
    </row>
    <row r="11" spans="1:6" hidden="1" x14ac:dyDescent="0.2">
      <c r="A11" s="80" t="s">
        <v>143</v>
      </c>
      <c r="B11" s="74"/>
      <c r="C11" s="74">
        <v>1</v>
      </c>
      <c r="D11" s="74">
        <v>12</v>
      </c>
      <c r="E11" s="74">
        <v>1.0649999999999999</v>
      </c>
      <c r="F11" s="73">
        <f>ROUND(B11*C11*D11*E11,2)</f>
        <v>0</v>
      </c>
    </row>
    <row r="12" spans="1:6" ht="38.25" hidden="1" x14ac:dyDescent="0.2">
      <c r="A12" s="80" t="s">
        <v>142</v>
      </c>
      <c r="B12" s="74"/>
      <c r="C12" s="74">
        <v>1</v>
      </c>
      <c r="D12" s="74">
        <v>1</v>
      </c>
      <c r="E12" s="74">
        <v>1</v>
      </c>
      <c r="F12" s="73">
        <f>ROUND(B12*C12*D12*E12,2)</f>
        <v>0</v>
      </c>
    </row>
    <row r="13" spans="1:6" hidden="1" x14ac:dyDescent="0.2">
      <c r="A13" s="80"/>
      <c r="B13" s="74"/>
      <c r="C13" s="74"/>
      <c r="D13" s="74"/>
      <c r="E13" s="74"/>
      <c r="F13" s="73"/>
    </row>
    <row r="14" spans="1:6" hidden="1" x14ac:dyDescent="0.2">
      <c r="A14" s="80"/>
      <c r="B14" s="74"/>
      <c r="C14" s="74"/>
      <c r="D14" s="74"/>
      <c r="E14" s="74"/>
      <c r="F14" s="73"/>
    </row>
    <row r="15" spans="1:6" hidden="1" x14ac:dyDescent="0.2">
      <c r="A15" s="80"/>
      <c r="B15" s="74"/>
      <c r="C15" s="74"/>
      <c r="D15" s="74"/>
      <c r="E15" s="74"/>
      <c r="F15" s="73"/>
    </row>
    <row r="16" spans="1:6" hidden="1" x14ac:dyDescent="0.2">
      <c r="A16" s="80"/>
      <c r="B16" s="74"/>
      <c r="C16" s="74"/>
      <c r="D16" s="74"/>
      <c r="E16" s="74"/>
      <c r="F16" s="73"/>
    </row>
    <row r="17" spans="1:6" hidden="1" x14ac:dyDescent="0.2">
      <c r="A17" s="80"/>
      <c r="B17" s="74"/>
      <c r="C17" s="74"/>
      <c r="D17" s="74"/>
      <c r="E17" s="74"/>
      <c r="F17" s="73"/>
    </row>
    <row r="18" spans="1:6" hidden="1" x14ac:dyDescent="0.2">
      <c r="A18" s="80"/>
      <c r="B18" s="74"/>
      <c r="C18" s="74"/>
      <c r="D18" s="74"/>
      <c r="E18" s="74"/>
      <c r="F18" s="73"/>
    </row>
    <row r="19" spans="1:6" hidden="1" x14ac:dyDescent="0.2">
      <c r="A19" s="80"/>
      <c r="B19" s="74"/>
      <c r="C19" s="74"/>
      <c r="D19" s="74"/>
      <c r="E19" s="74"/>
      <c r="F19" s="73"/>
    </row>
    <row r="20" spans="1:6" hidden="1" x14ac:dyDescent="0.2">
      <c r="A20" s="80"/>
      <c r="B20" s="74"/>
      <c r="C20" s="74"/>
      <c r="D20" s="74"/>
      <c r="E20" s="74"/>
      <c r="F20" s="73"/>
    </row>
    <row r="21" spans="1:6" hidden="1" x14ac:dyDescent="0.2">
      <c r="A21" s="80"/>
      <c r="B21" s="74"/>
      <c r="C21" s="74"/>
      <c r="D21" s="74"/>
      <c r="E21" s="74"/>
      <c r="F21" s="73"/>
    </row>
    <row r="22" spans="1:6" ht="13.5" thickBot="1" x14ac:dyDescent="0.25">
      <c r="A22" s="79"/>
      <c r="B22" s="72"/>
      <c r="C22" s="72"/>
      <c r="D22" s="72"/>
      <c r="E22" s="72"/>
      <c r="F22" s="71"/>
    </row>
    <row r="23" spans="1:6" ht="32.25" customHeight="1" x14ac:dyDescent="0.3">
      <c r="A23" s="1004" t="s">
        <v>156</v>
      </c>
      <c r="B23" s="926"/>
      <c r="C23" s="926"/>
      <c r="D23" s="926"/>
      <c r="E23" s="926"/>
      <c r="F23" s="926"/>
    </row>
    <row r="24" spans="1:6" ht="13.5" thickBot="1" x14ac:dyDescent="0.25">
      <c r="A24" s="78"/>
    </row>
    <row r="25" spans="1:6" ht="25.5" x14ac:dyDescent="0.2">
      <c r="A25" s="75"/>
      <c r="B25" s="218" t="s">
        <v>137</v>
      </c>
      <c r="C25" s="218" t="s">
        <v>136</v>
      </c>
      <c r="D25" s="218" t="s">
        <v>92</v>
      </c>
      <c r="E25" s="214" t="s">
        <v>91</v>
      </c>
      <c r="F25" s="219" t="s">
        <v>135</v>
      </c>
    </row>
    <row r="26" spans="1:6" x14ac:dyDescent="0.2">
      <c r="A26" s="76" t="str">
        <f>свод!A85</f>
        <v>медали</v>
      </c>
      <c r="B26" s="221">
        <v>944</v>
      </c>
      <c r="C26" s="74">
        <v>1</v>
      </c>
      <c r="D26" s="74">
        <v>1</v>
      </c>
      <c r="E26" s="74">
        <v>1</v>
      </c>
      <c r="F26" s="73">
        <f>ROUND(B26*C26*D26*E26,2)</f>
        <v>944</v>
      </c>
    </row>
    <row r="27" spans="1:6" x14ac:dyDescent="0.2">
      <c r="A27" s="76" t="str">
        <f>свод!A86</f>
        <v>аттестаты</v>
      </c>
      <c r="B27" s="74">
        <v>10098</v>
      </c>
      <c r="C27" s="74">
        <v>1</v>
      </c>
      <c r="D27" s="74">
        <v>1</v>
      </c>
      <c r="E27" s="74">
        <v>1</v>
      </c>
      <c r="F27" s="73">
        <f>ROUND(B27*C27*D27*E27,2)</f>
        <v>10098</v>
      </c>
    </row>
    <row r="28" spans="1:6" x14ac:dyDescent="0.2">
      <c r="A28" s="76" t="s">
        <v>502</v>
      </c>
      <c r="B28" s="74">
        <v>235500</v>
      </c>
      <c r="C28" s="74">
        <v>1</v>
      </c>
      <c r="D28" s="74">
        <v>1</v>
      </c>
      <c r="E28" s="74">
        <v>1</v>
      </c>
      <c r="F28" s="73">
        <f>ROUND(B28*C28*D28*E28,2)</f>
        <v>235500</v>
      </c>
    </row>
    <row r="29" spans="1:6" ht="13.5" thickBot="1" x14ac:dyDescent="0.25">
      <c r="A29" s="20" t="s">
        <v>88</v>
      </c>
      <c r="B29" s="72"/>
      <c r="C29" s="72"/>
      <c r="D29" s="72"/>
      <c r="E29" s="72"/>
      <c r="F29" s="71">
        <f>F26+F27+F28</f>
        <v>246542</v>
      </c>
    </row>
    <row r="30" spans="1:6" x14ac:dyDescent="0.2">
      <c r="A30" s="78"/>
    </row>
    <row r="31" spans="1:6" x14ac:dyDescent="0.2">
      <c r="A31" s="78"/>
    </row>
    <row r="32" spans="1:6" ht="37.5" customHeight="1" x14ac:dyDescent="0.3">
      <c r="A32" s="1005" t="s">
        <v>153</v>
      </c>
      <c r="B32" s="1006"/>
      <c r="C32" s="1006"/>
      <c r="D32" s="1006"/>
      <c r="E32" s="1006"/>
      <c r="F32" s="1007"/>
    </row>
    <row r="33" spans="1:6" x14ac:dyDescent="0.2">
      <c r="A33" s="77"/>
    </row>
    <row r="34" spans="1:6" ht="13.5" thickBot="1" x14ac:dyDescent="0.25">
      <c r="A34" s="77"/>
    </row>
    <row r="35" spans="1:6" ht="51" x14ac:dyDescent="0.2">
      <c r="A35" s="220"/>
      <c r="B35" s="218" t="s">
        <v>152</v>
      </c>
      <c r="C35" s="218" t="s">
        <v>151</v>
      </c>
      <c r="D35" s="218"/>
      <c r="E35" s="218"/>
      <c r="F35" s="219" t="s">
        <v>150</v>
      </c>
    </row>
    <row r="36" spans="1:6" x14ac:dyDescent="0.2">
      <c r="A36" s="76" t="s">
        <v>149</v>
      </c>
      <c r="B36" s="74"/>
      <c r="C36" s="74">
        <v>1</v>
      </c>
      <c r="D36" s="74"/>
      <c r="E36" s="74"/>
      <c r="F36" s="73">
        <f>ROUND(B36*C36,2)</f>
        <v>0</v>
      </c>
    </row>
    <row r="37" spans="1:6" ht="13.5" thickBot="1" x14ac:dyDescent="0.25">
      <c r="A37" s="30"/>
      <c r="B37" s="72"/>
      <c r="C37" s="72"/>
      <c r="D37" s="72"/>
      <c r="E37" s="72"/>
      <c r="F37" s="71">
        <f>ROUND(B37*C37*D37*E37,2)</f>
        <v>0</v>
      </c>
    </row>
    <row r="40" spans="1:6" ht="18.75" x14ac:dyDescent="0.3">
      <c r="A40" s="1001" t="s">
        <v>148</v>
      </c>
      <c r="B40" s="1002"/>
      <c r="C40" s="1002"/>
      <c r="D40" s="1002"/>
      <c r="E40" s="1002"/>
      <c r="F40" s="1002"/>
    </row>
    <row r="41" spans="1:6" ht="13.5" thickBot="1" x14ac:dyDescent="0.25"/>
    <row r="42" spans="1:6" ht="25.5" x14ac:dyDescent="0.2">
      <c r="A42" s="217"/>
      <c r="B42" s="218" t="s">
        <v>137</v>
      </c>
      <c r="C42" s="218" t="s">
        <v>136</v>
      </c>
      <c r="D42" s="218" t="s">
        <v>92</v>
      </c>
      <c r="E42" s="214" t="s">
        <v>91</v>
      </c>
      <c r="F42" s="219" t="s">
        <v>135</v>
      </c>
    </row>
    <row r="43" spans="1:6" x14ac:dyDescent="0.2">
      <c r="A43" s="22"/>
      <c r="B43" s="74"/>
      <c r="C43" s="74"/>
      <c r="D43" s="74"/>
      <c r="E43" s="74"/>
      <c r="F43" s="73">
        <f>ROUND(B43*C43*D43*E43,2)</f>
        <v>0</v>
      </c>
    </row>
    <row r="44" spans="1:6" x14ac:dyDescent="0.2">
      <c r="A44" s="22"/>
      <c r="B44" s="74"/>
      <c r="C44" s="74"/>
      <c r="D44" s="74"/>
      <c r="E44" s="74"/>
      <c r="F44" s="73">
        <f>ROUND(B44*C44*D44*E44,2)</f>
        <v>0</v>
      </c>
    </row>
    <row r="45" spans="1:6" ht="13.5" thickBot="1" x14ac:dyDescent="0.25">
      <c r="A45" s="20"/>
      <c r="B45" s="72"/>
      <c r="C45" s="72"/>
      <c r="D45" s="72"/>
      <c r="E45" s="72"/>
      <c r="F45" s="71">
        <f>ROUND(B45*C45*D45*E45,2)</f>
        <v>0</v>
      </c>
    </row>
    <row r="49" spans="1:82" s="11" customFormat="1" ht="15" x14ac:dyDescent="0.25">
      <c r="A49" s="15" t="s">
        <v>577</v>
      </c>
      <c r="B49" s="70"/>
      <c r="C49" s="211" t="s">
        <v>578</v>
      </c>
      <c r="D49" s="757"/>
      <c r="E49" s="758"/>
      <c r="F49" s="15"/>
      <c r="G49" s="13"/>
      <c r="H49" s="12"/>
      <c r="I49" s="12"/>
      <c r="J49" s="12"/>
    </row>
    <row r="50" spans="1:82" s="11" customFormat="1" x14ac:dyDescent="0.2">
      <c r="A50" s="67"/>
      <c r="B50" s="67"/>
      <c r="C50" s="67"/>
      <c r="D50" s="67"/>
      <c r="E50" s="14"/>
      <c r="G50" s="13"/>
      <c r="H50" s="12"/>
      <c r="I50" s="12"/>
      <c r="J50" s="35"/>
    </row>
    <row r="51" spans="1:82" s="11" customFormat="1" ht="15" x14ac:dyDescent="0.25">
      <c r="A51" s="11" t="s">
        <v>579</v>
      </c>
      <c r="B51" s="67"/>
      <c r="C51" s="212" t="s">
        <v>580</v>
      </c>
      <c r="D51" s="941"/>
      <c r="E51" s="942"/>
      <c r="G51" s="13"/>
      <c r="H51" s="12"/>
      <c r="I51" s="12"/>
      <c r="J51" s="12"/>
    </row>
    <row r="52" spans="1:82" s="67" customFormat="1" x14ac:dyDescent="0.2"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</row>
  </sheetData>
  <mergeCells count="6">
    <mergeCell ref="D51:E51"/>
    <mergeCell ref="A40:F40"/>
    <mergeCell ref="E1:F1"/>
    <mergeCell ref="A2:F2"/>
    <mergeCell ref="A23:F23"/>
    <mergeCell ref="A32:F32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0"/>
  <sheetViews>
    <sheetView view="pageBreakPreview" topLeftCell="A4" zoomScaleNormal="100" zoomScaleSheetLayoutView="100" workbookViewId="0">
      <selection activeCell="N25" sqref="N25"/>
    </sheetView>
  </sheetViews>
  <sheetFormatPr defaultColWidth="9.140625" defaultRowHeight="12.75" x14ac:dyDescent="0.2"/>
  <cols>
    <col min="1" max="1" width="26.42578125" style="77" customWidth="1"/>
    <col min="2" max="2" width="9.42578125" style="77" customWidth="1"/>
    <col min="3" max="3" width="8.28515625" style="66" customWidth="1"/>
    <col min="4" max="4" width="13.5703125" style="66" customWidth="1"/>
    <col min="5" max="5" width="9.85546875" style="66" customWidth="1"/>
    <col min="6" max="6" width="13.7109375" style="66" customWidth="1"/>
    <col min="7" max="7" width="9.28515625" style="66" bestFit="1" customWidth="1"/>
    <col min="8" max="8" width="11.5703125" style="66" customWidth="1"/>
    <col min="9" max="9" width="11.7109375" style="66" bestFit="1" customWidth="1"/>
    <col min="10" max="16384" width="9.140625" style="66"/>
  </cols>
  <sheetData>
    <row r="1" spans="1:9" x14ac:dyDescent="0.2">
      <c r="E1" s="1003" t="s">
        <v>261</v>
      </c>
      <c r="F1" s="1003"/>
      <c r="G1" s="262"/>
      <c r="H1" s="11"/>
    </row>
    <row r="2" spans="1:9" ht="15" customHeight="1" x14ac:dyDescent="0.25">
      <c r="A2" s="1008" t="s">
        <v>175</v>
      </c>
      <c r="B2" s="1008"/>
      <c r="C2" s="1008"/>
      <c r="D2" s="1008"/>
      <c r="E2" s="1008"/>
      <c r="F2" s="1008"/>
      <c r="G2" s="266"/>
      <c r="H2" s="11"/>
    </row>
    <row r="3" spans="1:9" x14ac:dyDescent="0.2">
      <c r="G3" s="11"/>
      <c r="H3" s="11"/>
    </row>
    <row r="4" spans="1:9" ht="13.5" thickBot="1" x14ac:dyDescent="0.25">
      <c r="G4" s="11"/>
      <c r="H4" s="11"/>
    </row>
    <row r="5" spans="1:9" s="78" customFormat="1" ht="89.25" x14ac:dyDescent="0.2">
      <c r="A5" s="220"/>
      <c r="B5" s="291" t="s">
        <v>174</v>
      </c>
      <c r="C5" s="218" t="s">
        <v>151</v>
      </c>
      <c r="D5" s="218" t="s">
        <v>173</v>
      </c>
      <c r="E5" s="218" t="s">
        <v>91</v>
      </c>
      <c r="F5" s="218" t="s">
        <v>172</v>
      </c>
      <c r="G5" s="214" t="s">
        <v>299</v>
      </c>
      <c r="H5" s="215" t="s">
        <v>172</v>
      </c>
    </row>
    <row r="6" spans="1:9" s="307" customFormat="1" x14ac:dyDescent="0.2">
      <c r="A6" s="22" t="s">
        <v>171</v>
      </c>
      <c r="B6" s="159" t="s">
        <v>163</v>
      </c>
      <c r="C6" s="326">
        <v>348</v>
      </c>
      <c r="D6" s="688">
        <v>25.72</v>
      </c>
      <c r="E6" s="326">
        <v>1</v>
      </c>
      <c r="F6" s="327">
        <f t="shared" ref="F6:F12" si="0">ROUND(C6*D6*E6,2)</f>
        <v>8950.56</v>
      </c>
      <c r="G6" s="283">
        <v>1</v>
      </c>
      <c r="H6" s="267">
        <f>ROUND(F6*G6,2)</f>
        <v>8950.56</v>
      </c>
      <c r="I6" s="689">
        <f>H6+H7+H8</f>
        <v>14429.279999999999</v>
      </c>
    </row>
    <row r="7" spans="1:9" s="307" customFormat="1" x14ac:dyDescent="0.2">
      <c r="A7" s="22" t="s">
        <v>171</v>
      </c>
      <c r="B7" s="159" t="s">
        <v>163</v>
      </c>
      <c r="C7" s="326">
        <v>208</v>
      </c>
      <c r="D7" s="688">
        <v>26.34</v>
      </c>
      <c r="E7" s="326">
        <v>1</v>
      </c>
      <c r="F7" s="327">
        <f t="shared" si="0"/>
        <v>5478.72</v>
      </c>
      <c r="G7" s="283">
        <v>1</v>
      </c>
      <c r="H7" s="267">
        <f t="shared" ref="H7:H26" si="1">ROUND(F7*G7,2)</f>
        <v>5478.72</v>
      </c>
    </row>
    <row r="8" spans="1:9" s="307" customFormat="1" x14ac:dyDescent="0.2">
      <c r="A8" s="22" t="s">
        <v>171</v>
      </c>
      <c r="B8" s="159" t="s">
        <v>163</v>
      </c>
      <c r="C8" s="688"/>
      <c r="D8" s="688"/>
      <c r="E8" s="688">
        <v>1</v>
      </c>
      <c r="F8" s="327">
        <f t="shared" ref="F8" si="2">ROUND(C8*D8*E8,2)</f>
        <v>0</v>
      </c>
      <c r="G8" s="283">
        <v>1</v>
      </c>
      <c r="H8" s="267">
        <f t="shared" ref="H8" si="3">ROUND(F8*G8,2)</f>
        <v>0</v>
      </c>
    </row>
    <row r="9" spans="1:9" s="307" customFormat="1" x14ac:dyDescent="0.2">
      <c r="A9" s="22" t="s">
        <v>170</v>
      </c>
      <c r="B9" s="159" t="s">
        <v>163</v>
      </c>
      <c r="C9" s="326">
        <v>348</v>
      </c>
      <c r="D9" s="326">
        <v>16.899999999999999</v>
      </c>
      <c r="E9" s="326">
        <v>1</v>
      </c>
      <c r="F9" s="327">
        <f t="shared" si="0"/>
        <v>5881.2</v>
      </c>
      <c r="G9" s="283">
        <v>1</v>
      </c>
      <c r="H9" s="267">
        <f t="shared" si="1"/>
        <v>5881.2</v>
      </c>
      <c r="I9" s="689">
        <f>H9+H10+H11</f>
        <v>9483.76</v>
      </c>
    </row>
    <row r="10" spans="1:9" s="307" customFormat="1" x14ac:dyDescent="0.2">
      <c r="A10" s="22" t="s">
        <v>170</v>
      </c>
      <c r="B10" s="159" t="s">
        <v>163</v>
      </c>
      <c r="C10" s="688">
        <v>208</v>
      </c>
      <c r="D10" s="688">
        <v>17.32</v>
      </c>
      <c r="E10" s="688">
        <v>1</v>
      </c>
      <c r="F10" s="327">
        <f>ROUND(C10*D10*E10,2)</f>
        <v>3602.56</v>
      </c>
      <c r="G10" s="283">
        <v>1</v>
      </c>
      <c r="H10" s="267">
        <f t="shared" ref="H10" si="4">ROUND(F10*G10,2)</f>
        <v>3602.56</v>
      </c>
    </row>
    <row r="11" spans="1:9" s="307" customFormat="1" x14ac:dyDescent="0.2">
      <c r="A11" s="22" t="s">
        <v>170</v>
      </c>
      <c r="B11" s="159" t="s">
        <v>163</v>
      </c>
      <c r="C11" s="326"/>
      <c r="D11" s="326"/>
      <c r="E11" s="326">
        <v>1</v>
      </c>
      <c r="F11" s="327">
        <f>ROUND(C11*D11*E11,2)</f>
        <v>0</v>
      </c>
      <c r="G11" s="283">
        <v>1</v>
      </c>
      <c r="H11" s="267">
        <f t="shared" si="1"/>
        <v>0</v>
      </c>
    </row>
    <row r="12" spans="1:9" s="307" customFormat="1" ht="12.75" customHeight="1" x14ac:dyDescent="0.2">
      <c r="A12" s="32" t="s">
        <v>169</v>
      </c>
      <c r="B12" s="270" t="s">
        <v>163</v>
      </c>
      <c r="C12" s="326"/>
      <c r="D12" s="688"/>
      <c r="E12" s="326">
        <v>1</v>
      </c>
      <c r="F12" s="327">
        <f t="shared" si="0"/>
        <v>0</v>
      </c>
      <c r="G12" s="283">
        <v>1</v>
      </c>
      <c r="H12" s="267">
        <f t="shared" si="1"/>
        <v>0</v>
      </c>
      <c r="I12" s="689">
        <f>H12+H13+H14+H15+H16+H17</f>
        <v>0</v>
      </c>
    </row>
    <row r="13" spans="1:9" s="307" customFormat="1" ht="12.75" customHeight="1" x14ac:dyDescent="0.2">
      <c r="A13" s="32" t="s">
        <v>169</v>
      </c>
      <c r="B13" s="270" t="s">
        <v>163</v>
      </c>
      <c r="C13" s="688"/>
      <c r="D13" s="688"/>
      <c r="E13" s="688">
        <v>1</v>
      </c>
      <c r="F13" s="327">
        <f>ROUND(C13*D13*E13,2)</f>
        <v>0</v>
      </c>
      <c r="G13" s="283">
        <v>1</v>
      </c>
      <c r="H13" s="267">
        <f t="shared" ref="H13" si="5">ROUND(F13*G13,2)</f>
        <v>0</v>
      </c>
    </row>
    <row r="14" spans="1:9" s="307" customFormat="1" ht="12.75" customHeight="1" x14ac:dyDescent="0.2">
      <c r="A14" s="32" t="s">
        <v>169</v>
      </c>
      <c r="B14" s="270" t="s">
        <v>163</v>
      </c>
      <c r="C14" s="326"/>
      <c r="D14" s="688"/>
      <c r="E14" s="688">
        <v>1</v>
      </c>
      <c r="F14" s="327">
        <f t="shared" ref="F14" si="6">ROUND(C14*D14*E14,2)</f>
        <v>0</v>
      </c>
      <c r="G14" s="283">
        <v>1</v>
      </c>
      <c r="H14" s="267">
        <f t="shared" si="1"/>
        <v>0</v>
      </c>
    </row>
    <row r="15" spans="1:9" s="307" customFormat="1" ht="12.75" customHeight="1" x14ac:dyDescent="0.2">
      <c r="A15" s="32" t="s">
        <v>169</v>
      </c>
      <c r="B15" s="270" t="s">
        <v>167</v>
      </c>
      <c r="C15" s="688"/>
      <c r="D15" s="688"/>
      <c r="E15" s="688">
        <v>1</v>
      </c>
      <c r="F15" s="327">
        <f t="shared" ref="F15:F16" si="7">ROUND(C15*D15*E15,2)</f>
        <v>0</v>
      </c>
      <c r="G15" s="283">
        <v>1</v>
      </c>
      <c r="H15" s="267">
        <f t="shared" ref="H15:H17" si="8">ROUND(F15*G15,2)</f>
        <v>0</v>
      </c>
    </row>
    <row r="16" spans="1:9" s="307" customFormat="1" ht="12.75" customHeight="1" x14ac:dyDescent="0.2">
      <c r="A16" s="32" t="s">
        <v>169</v>
      </c>
      <c r="B16" s="270" t="s">
        <v>167</v>
      </c>
      <c r="C16" s="688"/>
      <c r="D16" s="688"/>
      <c r="E16" s="688">
        <v>1</v>
      </c>
      <c r="F16" s="327">
        <f t="shared" si="7"/>
        <v>0</v>
      </c>
      <c r="G16" s="283">
        <v>1</v>
      </c>
      <c r="H16" s="267">
        <f t="shared" si="8"/>
        <v>0</v>
      </c>
    </row>
    <row r="17" spans="1:9" s="307" customFormat="1" ht="12.75" customHeight="1" x14ac:dyDescent="0.2">
      <c r="A17" s="32" t="s">
        <v>169</v>
      </c>
      <c r="B17" s="270" t="s">
        <v>167</v>
      </c>
      <c r="C17" s="688"/>
      <c r="D17" s="688"/>
      <c r="E17" s="688">
        <v>1</v>
      </c>
      <c r="F17" s="327">
        <f t="shared" ref="F17:F22" si="9">ROUND(C17*D17*E17,2)</f>
        <v>0</v>
      </c>
      <c r="G17" s="283">
        <v>1</v>
      </c>
      <c r="H17" s="267">
        <f t="shared" si="8"/>
        <v>0</v>
      </c>
    </row>
    <row r="18" spans="1:9" s="307" customFormat="1" ht="12.75" customHeight="1" x14ac:dyDescent="0.2">
      <c r="A18" s="32" t="s">
        <v>168</v>
      </c>
      <c r="B18" s="270" t="s">
        <v>167</v>
      </c>
      <c r="C18" s="326">
        <v>345.14299999999997</v>
      </c>
      <c r="D18" s="688">
        <v>1848.96</v>
      </c>
      <c r="E18" s="326">
        <v>1</v>
      </c>
      <c r="F18" s="327">
        <f t="shared" si="9"/>
        <v>638155.6</v>
      </c>
      <c r="G18" s="283">
        <v>1</v>
      </c>
      <c r="H18" s="267">
        <f>ROUND(F18*G18,2)+0.98</f>
        <v>638156.57999999996</v>
      </c>
      <c r="I18" s="689">
        <f>H18+H19+H20</f>
        <v>779521.1</v>
      </c>
    </row>
    <row r="19" spans="1:9" s="307" customFormat="1" ht="12.75" customHeight="1" x14ac:dyDescent="0.2">
      <c r="A19" s="32" t="s">
        <v>168</v>
      </c>
      <c r="B19" s="270" t="s">
        <v>167</v>
      </c>
      <c r="C19" s="326">
        <v>74.8</v>
      </c>
      <c r="D19" s="688">
        <v>1889.9</v>
      </c>
      <c r="E19" s="326">
        <v>1</v>
      </c>
      <c r="F19" s="327">
        <f t="shared" si="9"/>
        <v>141364.51999999999</v>
      </c>
      <c r="G19" s="283">
        <v>1</v>
      </c>
      <c r="H19" s="267">
        <f>ROUND(F19*G19,2)</f>
        <v>141364.51999999999</v>
      </c>
    </row>
    <row r="20" spans="1:9" s="307" customFormat="1" ht="12.75" customHeight="1" x14ac:dyDescent="0.2">
      <c r="A20" s="32" t="s">
        <v>168</v>
      </c>
      <c r="B20" s="270" t="s">
        <v>167</v>
      </c>
      <c r="C20" s="326"/>
      <c r="D20" s="688"/>
      <c r="E20" s="326">
        <v>1</v>
      </c>
      <c r="F20" s="327">
        <f t="shared" si="9"/>
        <v>0</v>
      </c>
      <c r="G20" s="283">
        <v>1</v>
      </c>
      <c r="H20" s="267">
        <f t="shared" si="1"/>
        <v>0</v>
      </c>
    </row>
    <row r="21" spans="1:9" s="307" customFormat="1" ht="12.75" customHeight="1" x14ac:dyDescent="0.2">
      <c r="A21" s="32" t="s">
        <v>166</v>
      </c>
      <c r="B21" s="270" t="s">
        <v>165</v>
      </c>
      <c r="C21" s="326">
        <v>12876.6</v>
      </c>
      <c r="D21" s="328">
        <v>7.57</v>
      </c>
      <c r="E21" s="326">
        <v>1</v>
      </c>
      <c r="F21" s="327">
        <f t="shared" si="9"/>
        <v>97475.86</v>
      </c>
      <c r="G21" s="283">
        <v>1</v>
      </c>
      <c r="H21" s="267">
        <f>ROUND(F21*G21,2)</f>
        <v>97475.86</v>
      </c>
      <c r="I21" s="689">
        <f>H21+H22</f>
        <v>97475.86</v>
      </c>
    </row>
    <row r="22" spans="1:9" s="307" customFormat="1" ht="12.75" customHeight="1" x14ac:dyDescent="0.2">
      <c r="A22" s="32" t="s">
        <v>166</v>
      </c>
      <c r="B22" s="270" t="s">
        <v>165</v>
      </c>
      <c r="C22" s="688"/>
      <c r="D22" s="328"/>
      <c r="E22" s="688">
        <v>1</v>
      </c>
      <c r="F22" s="327">
        <f t="shared" si="9"/>
        <v>0</v>
      </c>
      <c r="G22" s="283">
        <v>1</v>
      </c>
      <c r="H22" s="267">
        <f>ROUND(F22*G22,2)</f>
        <v>0</v>
      </c>
    </row>
    <row r="23" spans="1:9" s="307" customFormat="1" ht="12.75" customHeight="1" x14ac:dyDescent="0.2">
      <c r="A23" s="692"/>
      <c r="B23" s="693"/>
      <c r="C23" s="694"/>
      <c r="D23" s="691"/>
      <c r="E23" s="694">
        <v>1</v>
      </c>
      <c r="F23" s="327">
        <f t="shared" ref="F23:F24" si="10">ROUND(C23*D23*E23,2)</f>
        <v>0</v>
      </c>
      <c r="G23" s="283">
        <v>1</v>
      </c>
      <c r="H23" s="267">
        <f t="shared" ref="H23:H24" si="11">ROUND(F23*G23,2)</f>
        <v>0</v>
      </c>
    </row>
    <row r="24" spans="1:9" s="307" customFormat="1" ht="12.75" customHeight="1" x14ac:dyDescent="0.2">
      <c r="A24" s="692"/>
      <c r="B24" s="693"/>
      <c r="C24" s="694"/>
      <c r="D24" s="691"/>
      <c r="E24" s="694">
        <v>1</v>
      </c>
      <c r="F24" s="327">
        <f t="shared" si="10"/>
        <v>0</v>
      </c>
      <c r="G24" s="283">
        <v>1</v>
      </c>
      <c r="H24" s="267">
        <f t="shared" si="11"/>
        <v>0</v>
      </c>
    </row>
    <row r="25" spans="1:9" s="307" customFormat="1" ht="12.75" customHeight="1" x14ac:dyDescent="0.2">
      <c r="A25" s="692"/>
      <c r="B25" s="693"/>
      <c r="C25" s="694"/>
      <c r="D25" s="695"/>
      <c r="E25" s="694"/>
      <c r="F25" s="696"/>
      <c r="G25" s="697"/>
      <c r="H25" s="698"/>
    </row>
    <row r="26" spans="1:9" s="307" customFormat="1" ht="12.75" customHeight="1" thickBot="1" x14ac:dyDescent="0.25">
      <c r="A26" s="30" t="s">
        <v>255</v>
      </c>
      <c r="B26" s="284"/>
      <c r="C26" s="84"/>
      <c r="D26" s="292"/>
      <c r="E26" s="84">
        <v>1</v>
      </c>
      <c r="F26" s="293">
        <f>ROUND(D26*E26,2)</f>
        <v>0</v>
      </c>
      <c r="G26" s="285">
        <v>1</v>
      </c>
      <c r="H26" s="286">
        <f t="shared" si="1"/>
        <v>0</v>
      </c>
    </row>
    <row r="27" spans="1:9" s="307" customFormat="1" ht="12.6" customHeight="1" x14ac:dyDescent="0.2">
      <c r="A27" s="308"/>
      <c r="B27" s="309"/>
      <c r="C27" s="303"/>
      <c r="D27" s="303"/>
      <c r="E27" s="303"/>
      <c r="F27" s="304"/>
      <c r="G27" s="305"/>
      <c r="H27" s="306">
        <f>SUM(H6:H26)</f>
        <v>900910</v>
      </c>
    </row>
    <row r="28" spans="1:9" s="307" customFormat="1" ht="12.75" hidden="1" customHeight="1" x14ac:dyDescent="0.2">
      <c r="A28" s="308"/>
      <c r="B28" s="309"/>
      <c r="C28" s="303"/>
      <c r="D28" s="303"/>
      <c r="E28" s="303"/>
      <c r="F28" s="304"/>
      <c r="G28" s="305"/>
      <c r="H28" s="306"/>
    </row>
    <row r="29" spans="1:9" s="307" customFormat="1" hidden="1" x14ac:dyDescent="0.2">
      <c r="A29" s="308"/>
      <c r="B29" s="309"/>
      <c r="C29" s="303"/>
      <c r="D29" s="303"/>
      <c r="E29" s="303"/>
      <c r="F29" s="304"/>
      <c r="G29" s="305"/>
      <c r="H29" s="306"/>
    </row>
    <row r="30" spans="1:9" s="307" customFormat="1" ht="12.75" hidden="1" customHeight="1" x14ac:dyDescent="0.2">
      <c r="A30" s="308"/>
      <c r="B30" s="309"/>
      <c r="C30" s="310"/>
      <c r="D30" s="303"/>
      <c r="E30" s="303"/>
      <c r="F30" s="304"/>
      <c r="G30" s="305"/>
      <c r="H30" s="306"/>
    </row>
    <row r="31" spans="1:9" s="307" customFormat="1" hidden="1" x14ac:dyDescent="0.2">
      <c r="A31" s="308"/>
      <c r="B31" s="309"/>
      <c r="C31" s="310"/>
      <c r="D31" s="303"/>
      <c r="E31" s="303"/>
      <c r="F31" s="304"/>
      <c r="G31" s="305"/>
      <c r="H31" s="306"/>
    </row>
    <row r="32" spans="1:9" s="307" customFormat="1" hidden="1" x14ac:dyDescent="0.2">
      <c r="A32" s="308"/>
      <c r="B32" s="309"/>
      <c r="C32" s="303"/>
      <c r="D32" s="310"/>
      <c r="E32" s="303"/>
      <c r="F32" s="304"/>
      <c r="G32" s="305"/>
      <c r="H32" s="306"/>
    </row>
    <row r="33" spans="1:81" ht="13.5" hidden="1" thickBot="1" x14ac:dyDescent="0.25">
      <c r="A33" s="30"/>
      <c r="B33" s="284"/>
      <c r="C33" s="84"/>
      <c r="D33" s="292"/>
      <c r="E33" s="84"/>
      <c r="F33" s="293"/>
      <c r="G33" s="285"/>
      <c r="H33" s="286"/>
    </row>
    <row r="34" spans="1:81" ht="0.6" customHeight="1" thickBot="1" x14ac:dyDescent="0.25">
      <c r="A34" s="287" t="s">
        <v>164</v>
      </c>
      <c r="B34" s="288" t="s">
        <v>163</v>
      </c>
      <c r="C34" s="289"/>
      <c r="D34" s="289"/>
      <c r="E34" s="289"/>
      <c r="F34" s="290">
        <f>ROUND(C34*D34*E34,2)</f>
        <v>0</v>
      </c>
      <c r="G34" s="268"/>
      <c r="H34" s="11"/>
    </row>
    <row r="35" spans="1:81" x14ac:dyDescent="0.2">
      <c r="F35" s="174"/>
      <c r="G35" s="269"/>
      <c r="H35" s="11"/>
    </row>
    <row r="36" spans="1:81" x14ac:dyDescent="0.2">
      <c r="C36" s="83"/>
      <c r="G36" s="11"/>
      <c r="H36" s="11"/>
    </row>
    <row r="37" spans="1:81" s="11" customFormat="1" x14ac:dyDescent="0.2">
      <c r="A37" s="15" t="s">
        <v>577</v>
      </c>
      <c r="B37" s="70"/>
      <c r="E37" s="211" t="s">
        <v>578</v>
      </c>
      <c r="F37" s="757"/>
      <c r="G37" s="269"/>
      <c r="I37" s="12"/>
      <c r="J37" s="12"/>
    </row>
    <row r="38" spans="1:81" s="11" customFormat="1" x14ac:dyDescent="0.2">
      <c r="A38" s="67"/>
      <c r="B38" s="67"/>
      <c r="E38" s="67"/>
      <c r="F38" s="67"/>
      <c r="I38" s="12"/>
      <c r="J38" s="35"/>
    </row>
    <row r="39" spans="1:81" s="11" customFormat="1" x14ac:dyDescent="0.2">
      <c r="A39" s="11" t="s">
        <v>579</v>
      </c>
      <c r="B39" s="67"/>
      <c r="E39" s="212" t="s">
        <v>580</v>
      </c>
      <c r="F39" s="757"/>
      <c r="G39" s="13"/>
      <c r="H39" s="13"/>
      <c r="I39" s="12"/>
      <c r="J39" s="12"/>
    </row>
    <row r="40" spans="1:81" s="67" customFormat="1" x14ac:dyDescent="0.2"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</row>
  </sheetData>
  <mergeCells count="2">
    <mergeCell ref="A2:F2"/>
    <mergeCell ref="E1:F1"/>
  </mergeCells>
  <pageMargins left="0" right="0" top="0.74803149606299213" bottom="0.74803149606299213" header="0.31496062992125984" footer="0.31496062992125984"/>
  <pageSetup paperSize="9" scale="97" orientation="portrait" r:id="rId1"/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view="pageBreakPreview" zoomScaleSheetLayoutView="100" workbookViewId="0">
      <selection activeCell="B7" sqref="B7"/>
    </sheetView>
  </sheetViews>
  <sheetFormatPr defaultColWidth="9.140625" defaultRowHeight="12.75" x14ac:dyDescent="0.2"/>
  <cols>
    <col min="1" max="1" width="22.85546875" style="66" customWidth="1"/>
    <col min="2" max="2" width="20.28515625" style="66" customWidth="1"/>
    <col min="3" max="3" width="15.85546875" style="66" customWidth="1"/>
    <col min="4" max="4" width="25.140625" style="66" customWidth="1"/>
    <col min="5" max="5" width="7.85546875" style="66" customWidth="1"/>
    <col min="6" max="6" width="10.85546875" style="66" customWidth="1"/>
    <col min="7" max="7" width="8" style="66" customWidth="1"/>
    <col min="8" max="8" width="9.28515625" style="66" customWidth="1"/>
    <col min="9" max="16384" width="9.140625" style="66"/>
  </cols>
  <sheetData>
    <row r="1" spans="1:10" ht="15" x14ac:dyDescent="0.25">
      <c r="D1" s="1003" t="s">
        <v>180</v>
      </c>
      <c r="E1" s="1009"/>
      <c r="F1" s="264"/>
    </row>
    <row r="2" spans="1:10" ht="18.75" x14ac:dyDescent="0.3">
      <c r="A2" s="1001" t="s">
        <v>179</v>
      </c>
      <c r="B2" s="1003"/>
      <c r="C2" s="1003"/>
      <c r="D2" s="1003"/>
    </row>
    <row r="3" spans="1:10" ht="18.75" x14ac:dyDescent="0.3">
      <c r="A3" s="263"/>
      <c r="B3" s="264"/>
      <c r="C3" s="264"/>
      <c r="D3" s="264"/>
    </row>
    <row r="4" spans="1:10" ht="19.5" thickBot="1" x14ac:dyDescent="0.35">
      <c r="A4" s="263"/>
      <c r="B4" s="264"/>
      <c r="C4" s="264"/>
      <c r="D4" s="264"/>
    </row>
    <row r="5" spans="1:10" s="86" customFormat="1" ht="42" customHeight="1" x14ac:dyDescent="0.2">
      <c r="A5" s="213" t="s">
        <v>259</v>
      </c>
      <c r="B5" s="214" t="s">
        <v>257</v>
      </c>
      <c r="C5" s="214" t="s">
        <v>258</v>
      </c>
      <c r="D5" s="215" t="s">
        <v>179</v>
      </c>
    </row>
    <row r="6" spans="1:10" ht="29.25" customHeight="1" x14ac:dyDescent="0.2">
      <c r="A6" s="85" t="s">
        <v>178</v>
      </c>
      <c r="B6" s="271">
        <v>2999681.82</v>
      </c>
      <c r="C6" s="272">
        <v>2.1999999999999999E-2</v>
      </c>
      <c r="D6" s="273">
        <f>ROUND(B6*C6,0)</f>
        <v>65993</v>
      </c>
    </row>
    <row r="7" spans="1:10" ht="27.75" customHeight="1" x14ac:dyDescent="0.2">
      <c r="A7" s="85" t="s">
        <v>260</v>
      </c>
      <c r="B7" s="271">
        <v>30645081</v>
      </c>
      <c r="C7" s="272">
        <v>1.4999999999999999E-2</v>
      </c>
      <c r="D7" s="273">
        <f>ROUND(B7*C7,0)</f>
        <v>459676</v>
      </c>
    </row>
    <row r="8" spans="1:10" hidden="1" x14ac:dyDescent="0.2">
      <c r="A8" s="245" t="s">
        <v>283</v>
      </c>
      <c r="B8" s="274"/>
      <c r="C8" s="275"/>
      <c r="D8" s="273">
        <f>ROUND(B8*C8,0)</f>
        <v>0</v>
      </c>
    </row>
    <row r="9" spans="1:10" hidden="1" x14ac:dyDescent="0.2">
      <c r="A9" s="245" t="s">
        <v>282</v>
      </c>
      <c r="B9" s="274"/>
      <c r="C9" s="275"/>
      <c r="D9" s="273">
        <f>ROUND(B9*C9,0)</f>
        <v>0</v>
      </c>
    </row>
    <row r="10" spans="1:10" ht="13.5" hidden="1" thickBot="1" x14ac:dyDescent="0.25">
      <c r="A10" s="244" t="s">
        <v>256</v>
      </c>
      <c r="B10" s="276"/>
      <c r="C10" s="277">
        <v>42</v>
      </c>
      <c r="D10" s="278">
        <f>ROUND(B10*C10,0)</f>
        <v>0</v>
      </c>
    </row>
    <row r="11" spans="1:10" x14ac:dyDescent="0.2">
      <c r="D11" s="216">
        <f>D6+D7+D10</f>
        <v>525669</v>
      </c>
    </row>
    <row r="12" spans="1:10" ht="12.75" hidden="1" customHeight="1" x14ac:dyDescent="0.25">
      <c r="A12" s="1010" t="s">
        <v>175</v>
      </c>
      <c r="B12" s="1010"/>
      <c r="C12" s="1010"/>
      <c r="D12" s="1010"/>
      <c r="E12" s="1010"/>
      <c r="F12" s="1010"/>
      <c r="G12" s="266"/>
      <c r="H12" s="11"/>
    </row>
    <row r="13" spans="1:10" s="11" customFormat="1" hidden="1" x14ac:dyDescent="0.2">
      <c r="A13" s="59"/>
      <c r="B13" s="59"/>
      <c r="I13" s="12"/>
      <c r="J13" s="12"/>
    </row>
    <row r="14" spans="1:10" s="345" customFormat="1" ht="13.5" hidden="1" thickBot="1" x14ac:dyDescent="0.25">
      <c r="A14" s="344"/>
      <c r="B14" s="344"/>
      <c r="I14" s="346"/>
      <c r="J14" s="347"/>
    </row>
    <row r="15" spans="1:10" s="345" customFormat="1" ht="127.5" hidden="1" x14ac:dyDescent="0.2">
      <c r="A15" s="348"/>
      <c r="B15" s="349" t="s">
        <v>174</v>
      </c>
      <c r="C15" s="350" t="s">
        <v>151</v>
      </c>
      <c r="D15" s="350" t="s">
        <v>173</v>
      </c>
      <c r="E15" s="350" t="s">
        <v>91</v>
      </c>
      <c r="F15" s="350" t="s">
        <v>300</v>
      </c>
      <c r="G15" s="350" t="s">
        <v>301</v>
      </c>
      <c r="H15" s="351" t="s">
        <v>172</v>
      </c>
      <c r="I15" s="346"/>
      <c r="J15" s="346"/>
    </row>
    <row r="16" spans="1:10" s="356" customFormat="1" hidden="1" x14ac:dyDescent="0.2">
      <c r="A16" s="352" t="s">
        <v>168</v>
      </c>
      <c r="B16" s="353" t="s">
        <v>167</v>
      </c>
      <c r="C16" s="353"/>
      <c r="D16" s="353"/>
      <c r="E16" s="353">
        <v>1</v>
      </c>
      <c r="F16" s="354">
        <f>пр.5!F19</f>
        <v>141364.51999999999</v>
      </c>
      <c r="G16" s="354">
        <v>0</v>
      </c>
      <c r="H16" s="355">
        <f>F16*G16</f>
        <v>0</v>
      </c>
    </row>
    <row r="17" spans="1:8" s="356" customFormat="1" ht="13.5" hidden="1" thickBot="1" x14ac:dyDescent="0.25">
      <c r="A17" s="357" t="s">
        <v>166</v>
      </c>
      <c r="B17" s="358" t="s">
        <v>165</v>
      </c>
      <c r="C17" s="359"/>
      <c r="D17" s="358"/>
      <c r="E17" s="358">
        <v>1</v>
      </c>
      <c r="F17" s="359">
        <f>пр.5!F21</f>
        <v>97475.86</v>
      </c>
      <c r="G17" s="359">
        <v>0</v>
      </c>
      <c r="H17" s="360">
        <f>F17*G17</f>
        <v>0</v>
      </c>
    </row>
    <row r="18" spans="1:8" hidden="1" x14ac:dyDescent="0.2">
      <c r="A18" s="32" t="s">
        <v>168</v>
      </c>
      <c r="B18" s="270" t="s">
        <v>167</v>
      </c>
      <c r="C18" s="270"/>
      <c r="D18" s="270"/>
      <c r="E18" s="270">
        <v>1</v>
      </c>
      <c r="F18" s="283">
        <f>ROUND(C18*D18*E18,2)</f>
        <v>0</v>
      </c>
      <c r="G18" s="283">
        <v>0.5</v>
      </c>
      <c r="H18" s="267">
        <f>F18*G18</f>
        <v>0</v>
      </c>
    </row>
    <row r="19" spans="1:8" hidden="1" x14ac:dyDescent="0.2">
      <c r="A19" s="32" t="s">
        <v>168</v>
      </c>
      <c r="B19" s="270" t="s">
        <v>167</v>
      </c>
      <c r="C19" s="270"/>
      <c r="D19" s="270"/>
      <c r="E19" s="270">
        <v>1</v>
      </c>
      <c r="F19" s="283">
        <f>ROUND(C19*D19*E19,2)</f>
        <v>0</v>
      </c>
      <c r="G19" s="283">
        <v>0.5</v>
      </c>
      <c r="H19" s="267">
        <f>F19*G19</f>
        <v>0</v>
      </c>
    </row>
    <row r="20" spans="1:8" ht="13.5" hidden="1" thickBot="1" x14ac:dyDescent="0.25">
      <c r="A20" s="30" t="s">
        <v>166</v>
      </c>
      <c r="B20" s="284" t="s">
        <v>165</v>
      </c>
      <c r="C20" s="284"/>
      <c r="D20" s="284"/>
      <c r="E20" s="284">
        <v>1</v>
      </c>
      <c r="F20" s="285">
        <f>ROUND(D20*E20,2)</f>
        <v>0</v>
      </c>
      <c r="G20" s="285">
        <v>0.1</v>
      </c>
      <c r="H20" s="286">
        <f>F20*G20</f>
        <v>0</v>
      </c>
    </row>
    <row r="21" spans="1:8" ht="25.5" customHeight="1" x14ac:dyDescent="0.2"/>
    <row r="22" spans="1:8" ht="15" x14ac:dyDescent="0.25">
      <c r="A22" s="15" t="s">
        <v>577</v>
      </c>
      <c r="B22" s="70"/>
      <c r="C22" s="211" t="s">
        <v>578</v>
      </c>
      <c r="D22" s="941"/>
      <c r="E22" s="942"/>
      <c r="F22" s="15"/>
      <c r="G22" s="13"/>
      <c r="H22" s="12"/>
    </row>
    <row r="23" spans="1:8" ht="12.75" customHeight="1" x14ac:dyDescent="0.2">
      <c r="A23" s="67"/>
      <c r="B23" s="67"/>
      <c r="C23" s="67"/>
      <c r="D23" s="67"/>
      <c r="E23" s="14"/>
      <c r="F23" s="11"/>
      <c r="G23" s="13"/>
      <c r="H23" s="12"/>
    </row>
    <row r="24" spans="1:8" ht="15" x14ac:dyDescent="0.25">
      <c r="A24" s="11" t="s">
        <v>579</v>
      </c>
      <c r="B24" s="67"/>
      <c r="C24" s="212" t="s">
        <v>580</v>
      </c>
      <c r="D24" s="941"/>
      <c r="E24" s="942"/>
      <c r="F24" s="11"/>
      <c r="G24" s="13"/>
      <c r="H24" s="12"/>
    </row>
  </sheetData>
  <mergeCells count="5">
    <mergeCell ref="D22:E22"/>
    <mergeCell ref="D24:E24"/>
    <mergeCell ref="A2:D2"/>
    <mergeCell ref="D1:E1"/>
    <mergeCell ref="A12:F12"/>
  </mergeCells>
  <pageMargins left="0.7" right="0.7" top="0.75" bottom="0.75" header="0.3" footer="0.3"/>
  <pageSetup paperSize="9" scale="9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zoomScale="115" zoomScaleNormal="115" workbookViewId="0">
      <selection activeCell="D55" sqref="D55:E55"/>
    </sheetView>
  </sheetViews>
  <sheetFormatPr defaultColWidth="9.140625" defaultRowHeight="12.75" x14ac:dyDescent="0.2"/>
  <cols>
    <col min="1" max="1" width="10.42578125" style="66" customWidth="1"/>
    <col min="2" max="2" width="7.5703125" style="66" customWidth="1"/>
    <col min="3" max="3" width="15.5703125" style="66" customWidth="1"/>
    <col min="4" max="4" width="18.140625" style="66" customWidth="1"/>
    <col min="5" max="5" width="15.140625" style="66" customWidth="1"/>
    <col min="6" max="6" width="8" style="66" customWidth="1"/>
    <col min="7" max="7" width="13.42578125" style="66" bestFit="1" customWidth="1"/>
    <col min="8" max="8" width="15.85546875" style="66" customWidth="1"/>
    <col min="9" max="10" width="13.42578125" style="66" customWidth="1"/>
    <col min="11" max="11" width="13.7109375" style="66" customWidth="1"/>
    <col min="12" max="12" width="13" style="66" customWidth="1"/>
    <col min="13" max="13" width="15.140625" style="66" customWidth="1"/>
    <col min="14" max="14" width="14.5703125" style="66" customWidth="1"/>
    <col min="15" max="15" width="11.28515625" style="66" customWidth="1"/>
    <col min="16" max="16" width="11.42578125" style="66" customWidth="1"/>
    <col min="17" max="17" width="9.140625" style="66"/>
    <col min="18" max="20" width="0" style="66" hidden="1" customWidth="1"/>
    <col min="21" max="16384" width="9.140625" style="66"/>
  </cols>
  <sheetData>
    <row r="1" spans="1:20" ht="15.75" x14ac:dyDescent="0.2">
      <c r="F1" s="69"/>
      <c r="G1" s="69"/>
      <c r="H1" s="69"/>
      <c r="I1" s="68" t="s">
        <v>225</v>
      </c>
      <c r="J1" s="68"/>
      <c r="K1" s="68"/>
      <c r="L1" s="68"/>
      <c r="M1" s="68"/>
      <c r="N1" s="160"/>
      <c r="O1" s="68"/>
      <c r="P1" s="68"/>
      <c r="Q1" s="160"/>
      <c r="R1" s="160"/>
    </row>
    <row r="2" spans="1:20" ht="18" x14ac:dyDescent="0.25">
      <c r="A2" s="1015" t="s">
        <v>222</v>
      </c>
      <c r="B2" s="1015"/>
      <c r="C2" s="1015"/>
      <c r="D2" s="1015"/>
      <c r="E2" s="1015"/>
      <c r="F2" s="69"/>
      <c r="G2" s="69"/>
      <c r="H2" s="69"/>
      <c r="I2" s="1013" t="s">
        <v>567</v>
      </c>
      <c r="J2" s="1013"/>
      <c r="K2" s="1013" t="s">
        <v>565</v>
      </c>
      <c r="L2" s="1013"/>
      <c r="M2" s="1013" t="s">
        <v>566</v>
      </c>
      <c r="N2" s="1013"/>
      <c r="O2" s="68"/>
      <c r="R2" s="68" t="s">
        <v>296</v>
      </c>
      <c r="S2" s="68"/>
    </row>
    <row r="3" spans="1:20" x14ac:dyDescent="0.2">
      <c r="F3" s="69"/>
      <c r="G3" s="69"/>
      <c r="H3" s="69"/>
      <c r="I3" s="68" t="s">
        <v>297</v>
      </c>
      <c r="J3" s="66" t="s">
        <v>548</v>
      </c>
      <c r="K3" s="68" t="s">
        <v>297</v>
      </c>
      <c r="L3" s="66" t="s">
        <v>548</v>
      </c>
      <c r="M3" s="68" t="s">
        <v>297</v>
      </c>
      <c r="N3" s="66" t="s">
        <v>548</v>
      </c>
      <c r="P3" s="68" t="s">
        <v>549</v>
      </c>
      <c r="R3" s="172" t="s">
        <v>226</v>
      </c>
      <c r="S3" s="172" t="s">
        <v>223</v>
      </c>
      <c r="T3" s="172" t="s">
        <v>224</v>
      </c>
    </row>
    <row r="4" spans="1:20" ht="18.75" x14ac:dyDescent="0.3">
      <c r="C4" s="66" t="s">
        <v>120</v>
      </c>
      <c r="E4" s="315">
        <f>I4+J4+K4+L4+M4+N4</f>
        <v>516</v>
      </c>
      <c r="F4" s="69"/>
      <c r="G4" s="69" t="s">
        <v>219</v>
      </c>
      <c r="H4" s="69"/>
      <c r="I4" s="158">
        <v>236</v>
      </c>
      <c r="J4" s="158">
        <v>2</v>
      </c>
      <c r="K4" s="158">
        <v>226</v>
      </c>
      <c r="L4" s="158">
        <v>2</v>
      </c>
      <c r="M4" s="158">
        <v>50</v>
      </c>
      <c r="N4" s="158">
        <v>0</v>
      </c>
      <c r="O4" s="158"/>
      <c r="P4" s="591">
        <f>'проверка фок'!D4</f>
        <v>0</v>
      </c>
      <c r="Q4" s="68"/>
      <c r="R4" s="175"/>
      <c r="S4" s="175"/>
      <c r="T4" s="175"/>
    </row>
    <row r="5" spans="1:20" x14ac:dyDescent="0.2">
      <c r="A5" s="74" t="s">
        <v>110</v>
      </c>
      <c r="B5" s="74" t="s">
        <v>221</v>
      </c>
      <c r="C5" s="74" t="s">
        <v>220</v>
      </c>
      <c r="D5" s="74" t="s">
        <v>90</v>
      </c>
      <c r="E5" s="74" t="s">
        <v>219</v>
      </c>
      <c r="F5" s="69"/>
      <c r="G5" s="69"/>
      <c r="H5" s="69"/>
      <c r="I5" s="259"/>
      <c r="J5" s="259"/>
      <c r="K5" s="259"/>
      <c r="L5" s="259"/>
      <c r="M5" s="259"/>
      <c r="N5" s="259"/>
      <c r="O5" s="259"/>
      <c r="P5" s="68"/>
      <c r="Q5" s="68"/>
      <c r="R5" s="172"/>
      <c r="S5" s="172"/>
      <c r="T5" s="172"/>
    </row>
    <row r="6" spans="1:20" s="163" customFormat="1" x14ac:dyDescent="0.2">
      <c r="A6" s="169"/>
      <c r="B6" s="169"/>
      <c r="C6" s="170">
        <f>SUM(C17:C32)</f>
        <v>21506678</v>
      </c>
      <c r="D6" s="170">
        <f t="shared" ref="D6:E6" si="0">SUM(D17:D32)</f>
        <v>21506678</v>
      </c>
      <c r="E6" s="170">
        <f t="shared" si="0"/>
        <v>0</v>
      </c>
      <c r="F6" s="165"/>
      <c r="G6" s="165"/>
      <c r="H6" s="165"/>
      <c r="I6" s="175"/>
      <c r="J6" s="175"/>
      <c r="K6" s="175"/>
      <c r="L6" s="175"/>
      <c r="M6" s="175"/>
      <c r="N6" s="175"/>
      <c r="O6" s="175"/>
      <c r="P6" s="68" t="s">
        <v>230</v>
      </c>
      <c r="Q6" s="68"/>
      <c r="R6" s="172"/>
      <c r="S6" s="172"/>
      <c r="T6" s="172"/>
    </row>
    <row r="7" spans="1:20" s="163" customFormat="1" x14ac:dyDescent="0.2">
      <c r="A7" s="169">
        <v>211</v>
      </c>
      <c r="B7" s="168" t="s">
        <v>218</v>
      </c>
      <c r="C7" s="167">
        <f>13247611+48000</f>
        <v>13295611</v>
      </c>
      <c r="D7" s="314">
        <f>свод!F21+свод!F34</f>
        <v>13295611</v>
      </c>
      <c r="E7" s="314">
        <f t="shared" ref="E7:E32" si="1">C7-D7</f>
        <v>0</v>
      </c>
      <c r="F7" s="69"/>
      <c r="G7" s="69"/>
      <c r="H7" s="164">
        <f>K6*K7</f>
        <v>0</v>
      </c>
      <c r="I7" s="342">
        <f>C17/E4*I4</f>
        <v>8270983.6046511633</v>
      </c>
      <c r="J7" s="342">
        <f>C17/E4*J4</f>
        <v>70093.08139534884</v>
      </c>
      <c r="K7" s="342">
        <f>C17/E4*K4</f>
        <v>7920518.1976744188</v>
      </c>
      <c r="L7" s="342">
        <f>C17/E4*L4</f>
        <v>70093.08139534884</v>
      </c>
      <c r="M7" s="342">
        <f>C17/E4*M4</f>
        <v>1752327.034883721</v>
      </c>
      <c r="N7" s="342">
        <f>C17/E4*N4</f>
        <v>0</v>
      </c>
      <c r="O7" s="338"/>
      <c r="P7" s="68" t="s">
        <v>229</v>
      </c>
      <c r="Q7" s="68"/>
      <c r="R7" s="172"/>
      <c r="S7" s="172"/>
      <c r="T7" s="172"/>
    </row>
    <row r="8" spans="1:20" s="163" customFormat="1" x14ac:dyDescent="0.2">
      <c r="A8" s="169">
        <v>213</v>
      </c>
      <c r="B8" s="168" t="s">
        <v>218</v>
      </c>
      <c r="C8" s="167">
        <v>4015274</v>
      </c>
      <c r="D8" s="314">
        <f>свод!F36+свод!F22-D16</f>
        <v>4015274</v>
      </c>
      <c r="E8" s="314">
        <f t="shared" si="1"/>
        <v>0</v>
      </c>
      <c r="F8" s="164"/>
      <c r="G8" s="164"/>
      <c r="H8" s="164">
        <f>I8*$I$4+J8*$J$4+K8*$K$4+L8*$L$4+M8*$M$4+N8*$N$4+O8*$O$4</f>
        <v>0</v>
      </c>
      <c r="I8" s="340"/>
      <c r="J8" s="340"/>
      <c r="K8" s="340"/>
      <c r="L8" s="340"/>
      <c r="M8" s="340"/>
      <c r="N8" s="340"/>
      <c r="O8" s="596">
        <f>IF(O4=0,0,ROUND((R8*R4+S8*S4+T8*T4)/O4,0))</f>
        <v>0</v>
      </c>
      <c r="P8" s="68" t="s">
        <v>227</v>
      </c>
      <c r="Q8" s="68"/>
      <c r="R8" s="340">
        <f>J8</f>
        <v>0</v>
      </c>
      <c r="S8" s="340">
        <f>L8</f>
        <v>0</v>
      </c>
      <c r="T8" s="340">
        <f>N8</f>
        <v>0</v>
      </c>
    </row>
    <row r="9" spans="1:20" s="163" customFormat="1" x14ac:dyDescent="0.2">
      <c r="A9" s="169">
        <v>221</v>
      </c>
      <c r="B9" s="168" t="s">
        <v>218</v>
      </c>
      <c r="C9" s="167">
        <v>46140</v>
      </c>
      <c r="D9" s="166">
        <f>'пр.1+2 '!D44:'пр.1+2 '!C44</f>
        <v>46140</v>
      </c>
      <c r="E9" s="161">
        <f t="shared" si="1"/>
        <v>0</v>
      </c>
      <c r="F9" s="164"/>
      <c r="G9" s="164"/>
      <c r="H9" s="164">
        <f>I9*$I$4+J9*$J$4+K9*$K$4+L9*$L$4+M9*$M$4+N9*$N$4+O9*$O$4</f>
        <v>0</v>
      </c>
      <c r="I9" s="340"/>
      <c r="J9" s="340"/>
      <c r="K9" s="601"/>
      <c r="L9" s="602"/>
      <c r="M9" s="601"/>
      <c r="N9" s="602"/>
      <c r="O9" s="596">
        <f>IF(O4=0,0,ROUND((R9*R4+S9*S4+T9*T4)/O4,0))</f>
        <v>0</v>
      </c>
      <c r="P9" s="68" t="s">
        <v>228</v>
      </c>
      <c r="Q9" s="68"/>
      <c r="R9" s="340">
        <f>J9</f>
        <v>0</v>
      </c>
      <c r="S9" s="341">
        <f>L9</f>
        <v>0</v>
      </c>
      <c r="T9" s="341">
        <f>N9</f>
        <v>0</v>
      </c>
    </row>
    <row r="10" spans="1:20" s="163" customFormat="1" x14ac:dyDescent="0.2">
      <c r="A10" s="169" t="s">
        <v>550</v>
      </c>
      <c r="B10" s="168" t="s">
        <v>218</v>
      </c>
      <c r="C10" s="173">
        <v>20848</v>
      </c>
      <c r="D10" s="166">
        <f>'пр.1+2 '!D42:E42</f>
        <v>20848</v>
      </c>
      <c r="E10" s="161">
        <f t="shared" si="1"/>
        <v>0</v>
      </c>
      <c r="F10" s="164">
        <f>ROUND(C10/E4,2)</f>
        <v>40.4</v>
      </c>
      <c r="G10" s="164"/>
      <c r="H10" s="164">
        <f>I10*$I$4+J10*$J$4+K10*$K$4+L10*$L$4+M10*$M$4+N10*$N$4+O10*$O$4</f>
        <v>20846.399999999998</v>
      </c>
      <c r="I10" s="66">
        <f>$F$10</f>
        <v>40.4</v>
      </c>
      <c r="J10" s="66">
        <f t="shared" ref="J10:O10" si="2">$F$10</f>
        <v>40.4</v>
      </c>
      <c r="K10" s="66">
        <f t="shared" si="2"/>
        <v>40.4</v>
      </c>
      <c r="L10" s="66">
        <f t="shared" si="2"/>
        <v>40.4</v>
      </c>
      <c r="M10" s="66">
        <f t="shared" si="2"/>
        <v>40.4</v>
      </c>
      <c r="N10" s="66">
        <f t="shared" si="2"/>
        <v>40.4</v>
      </c>
      <c r="O10" s="66">
        <f t="shared" si="2"/>
        <v>40.4</v>
      </c>
      <c r="P10" s="68"/>
      <c r="Q10" s="68"/>
      <c r="R10" s="68"/>
      <c r="S10" s="68"/>
      <c r="T10" s="68"/>
    </row>
    <row r="11" spans="1:20" s="163" customFormat="1" x14ac:dyDescent="0.2">
      <c r="A11" s="169">
        <v>226</v>
      </c>
      <c r="B11" s="168" t="s">
        <v>218</v>
      </c>
      <c r="C11" s="597">
        <v>20000</v>
      </c>
      <c r="D11" s="166">
        <f>'пр.1+2 '!D43</f>
        <v>20000</v>
      </c>
      <c r="E11" s="161">
        <f t="shared" si="1"/>
        <v>0</v>
      </c>
      <c r="F11" s="164"/>
      <c r="G11" s="164"/>
      <c r="H11" s="164">
        <f t="shared" ref="H11" si="3">I11*$I$4+J11*$J$4+K11*$K$4+L11*$L$4+M11*$M$4+N11*$N$4+O11*$O$4</f>
        <v>0</v>
      </c>
      <c r="I11" s="258"/>
      <c r="J11" s="258"/>
      <c r="K11" s="258"/>
      <c r="L11" s="258"/>
      <c r="M11" s="258"/>
      <c r="N11" s="258"/>
      <c r="O11" s="258"/>
      <c r="P11" s="68"/>
      <c r="Q11" s="68"/>
      <c r="R11" s="68"/>
      <c r="S11" s="68"/>
      <c r="T11" s="68"/>
    </row>
    <row r="12" spans="1:20" s="163" customFormat="1" x14ac:dyDescent="0.2">
      <c r="A12" s="169">
        <v>310</v>
      </c>
      <c r="B12" s="168" t="s">
        <v>218</v>
      </c>
      <c r="C12" s="167">
        <v>183600</v>
      </c>
      <c r="D12" s="166">
        <f>'пр.1+2 '!D45:E45</f>
        <v>183600</v>
      </c>
      <c r="E12" s="161">
        <f t="shared" si="1"/>
        <v>0</v>
      </c>
      <c r="F12" s="164"/>
      <c r="G12" s="165"/>
      <c r="N12" s="66"/>
      <c r="O12" s="68"/>
      <c r="P12" s="68"/>
      <c r="Q12" s="68"/>
      <c r="R12" s="68"/>
    </row>
    <row r="13" spans="1:20" s="163" customFormat="1" x14ac:dyDescent="0.2">
      <c r="A13" s="169" t="s">
        <v>462</v>
      </c>
      <c r="B13" s="168"/>
      <c r="C13" s="167">
        <v>476560</v>
      </c>
      <c r="D13" s="166">
        <f>'пр.1+2 '!D46:E46</f>
        <v>476560</v>
      </c>
      <c r="E13" s="161">
        <f t="shared" si="1"/>
        <v>0</v>
      </c>
      <c r="F13" s="164"/>
      <c r="G13" s="165"/>
      <c r="I13" s="163">
        <v>236</v>
      </c>
      <c r="J13" s="163">
        <v>226</v>
      </c>
      <c r="K13" s="163">
        <v>50</v>
      </c>
      <c r="L13" s="163">
        <v>2</v>
      </c>
      <c r="M13" s="163">
        <v>2</v>
      </c>
      <c r="N13" s="66">
        <v>0</v>
      </c>
      <c r="O13" s="68"/>
      <c r="P13" s="68"/>
      <c r="Q13" s="68"/>
      <c r="R13" s="68"/>
    </row>
    <row r="14" spans="1:20" s="163" customFormat="1" x14ac:dyDescent="0.2">
      <c r="A14" s="599" t="s">
        <v>461</v>
      </c>
      <c r="B14" s="168" t="s">
        <v>218</v>
      </c>
      <c r="C14" s="167">
        <v>25982</v>
      </c>
      <c r="D14" s="166">
        <f>'пр.1+2 '!D47:E47</f>
        <v>25982</v>
      </c>
      <c r="E14" s="161">
        <f t="shared" si="1"/>
        <v>0</v>
      </c>
      <c r="F14" s="164"/>
      <c r="G14" s="164"/>
    </row>
    <row r="15" spans="1:20" s="163" customFormat="1" x14ac:dyDescent="0.2">
      <c r="A15" s="600" t="s">
        <v>306</v>
      </c>
      <c r="B15" s="168"/>
      <c r="C15" s="167"/>
      <c r="D15" s="166">
        <f>'пр.1+2 '!D96:E96</f>
        <v>0</v>
      </c>
      <c r="E15" s="161">
        <f t="shared" si="1"/>
        <v>0</v>
      </c>
      <c r="F15" s="164"/>
      <c r="G15" s="164"/>
    </row>
    <row r="16" spans="1:20" s="163" customFormat="1" x14ac:dyDescent="0.2">
      <c r="A16" s="600" t="s">
        <v>307</v>
      </c>
      <c r="B16" s="168"/>
      <c r="C16" s="167"/>
      <c r="D16" s="166">
        <f>'пр.1+2 '!D97:E97</f>
        <v>0</v>
      </c>
      <c r="E16" s="161">
        <f t="shared" si="1"/>
        <v>0</v>
      </c>
      <c r="F16" s="164"/>
      <c r="G16" s="164"/>
    </row>
    <row r="17" spans="1:21" s="163" customFormat="1" ht="13.5" thickBot="1" x14ac:dyDescent="0.25">
      <c r="A17" s="169"/>
      <c r="B17" s="168"/>
      <c r="C17" s="176">
        <f>SUM(C7:C16)</f>
        <v>18084015</v>
      </c>
      <c r="D17" s="176">
        <f>SUM(D7:D16)</f>
        <v>18084015</v>
      </c>
      <c r="E17" s="176">
        <f>SUM(E7:E14)</f>
        <v>0</v>
      </c>
      <c r="F17" s="164"/>
      <c r="G17" s="165">
        <f>H17-C17</f>
        <v>-18063168.600000001</v>
      </c>
      <c r="H17" s="164">
        <f>I17*$I$4+J4*$J$17+K17*$K$4+L17*$L$4+M17*$M$4+N17*$N$4+O17*$O$4</f>
        <v>20846.399999999998</v>
      </c>
      <c r="I17" s="146">
        <f>ROUND(IF(I4=0,0,I8+I9+I10)+IF(I6=0,0,I7/I4),2)</f>
        <v>40.4</v>
      </c>
      <c r="J17" s="146">
        <f t="shared" ref="J17:O17" si="4">ROUND(IF(J4=0,0,J8+J9+J10)+IF(J6=0,0,J7/J4),2)</f>
        <v>40.4</v>
      </c>
      <c r="K17" s="146">
        <f>ROUND(IF(K4=0,0,K8+K9+K10)+IF(K6=0,0,K7/K4),2)</f>
        <v>40.4</v>
      </c>
      <c r="L17" s="146">
        <f t="shared" si="4"/>
        <v>40.4</v>
      </c>
      <c r="M17" s="146">
        <f t="shared" si="4"/>
        <v>40.4</v>
      </c>
      <c r="N17" s="146">
        <f t="shared" si="4"/>
        <v>0</v>
      </c>
      <c r="O17" s="146">
        <f t="shared" si="4"/>
        <v>0</v>
      </c>
      <c r="P17" s="257"/>
    </row>
    <row r="18" spans="1:21" s="163" customFormat="1" x14ac:dyDescent="0.2">
      <c r="A18" s="169"/>
      <c r="B18" s="168"/>
      <c r="C18" s="176"/>
      <c r="D18" s="176"/>
      <c r="E18" s="176"/>
      <c r="F18" s="164"/>
      <c r="G18" s="165"/>
      <c r="H18" s="164" t="s">
        <v>232</v>
      </c>
      <c r="I18" s="163">
        <f>-ROUND($G$17/$E$4,2)</f>
        <v>35006.14</v>
      </c>
      <c r="J18" s="163">
        <f>-ROUND($G$17/$E$4,2)</f>
        <v>35006.14</v>
      </c>
      <c r="K18" s="163">
        <f t="shared" ref="K18:O18" si="5">-ROUND($G$17/$E$4,2)</f>
        <v>35006.14</v>
      </c>
      <c r="L18" s="163">
        <f t="shared" si="5"/>
        <v>35006.14</v>
      </c>
      <c r="M18" s="163">
        <f t="shared" si="5"/>
        <v>35006.14</v>
      </c>
      <c r="N18" s="163">
        <f t="shared" si="5"/>
        <v>35006.14</v>
      </c>
      <c r="O18" s="163">
        <f t="shared" si="5"/>
        <v>35006.14</v>
      </c>
    </row>
    <row r="19" spans="1:21" s="163" customFormat="1" x14ac:dyDescent="0.2">
      <c r="A19" s="169"/>
      <c r="B19" s="168"/>
      <c r="C19" s="176" t="s">
        <v>551</v>
      </c>
      <c r="D19" s="176"/>
      <c r="E19" s="176"/>
      <c r="F19" s="164"/>
      <c r="G19" s="165">
        <f>C17-H19</f>
        <v>0.35999999940395355</v>
      </c>
      <c r="H19" s="164">
        <f>I19*$I$4+J19*$J$4+K19*$K$4+L19*$L$4+M19*$M$4+N19*$N$4+O19*$O$4</f>
        <v>18084014.640000001</v>
      </c>
      <c r="I19" s="163">
        <f>I17+I18</f>
        <v>35046.54</v>
      </c>
      <c r="J19" s="163">
        <f>J17+J18</f>
        <v>35046.54</v>
      </c>
      <c r="K19" s="163">
        <f t="shared" ref="K19:O19" si="6">K17+K18</f>
        <v>35046.54</v>
      </c>
      <c r="L19" s="163">
        <f t="shared" si="6"/>
        <v>35046.54</v>
      </c>
      <c r="M19" s="163">
        <f t="shared" si="6"/>
        <v>35046.54</v>
      </c>
      <c r="N19" s="163">
        <f t="shared" si="6"/>
        <v>35006.14</v>
      </c>
      <c r="O19" s="163">
        <f t="shared" si="6"/>
        <v>35006.14</v>
      </c>
    </row>
    <row r="20" spans="1:21" x14ac:dyDescent="0.2">
      <c r="A20" s="74">
        <v>211</v>
      </c>
      <c r="B20" s="74">
        <v>901</v>
      </c>
      <c r="C20" s="167">
        <f>729509+5418+102935+6000</f>
        <v>843862</v>
      </c>
      <c r="D20" s="312">
        <f>свод!F16+свод!F39</f>
        <v>843862</v>
      </c>
      <c r="E20" s="312">
        <f t="shared" si="1"/>
        <v>0</v>
      </c>
      <c r="F20" s="164">
        <f>ROUND(C20/$E$4,2)</f>
        <v>1635.39</v>
      </c>
      <c r="G20" s="165">
        <f>H20-C20</f>
        <v>-0.7599999998928979</v>
      </c>
      <c r="H20" s="164">
        <f t="shared" ref="H20:H32" si="7">I20*$I$4+J20*$J$4+K20*$K$4+L20*$L$4+M20*$M$4+N20*$N$4+O20*$O$4</f>
        <v>843861.24000000011</v>
      </c>
      <c r="I20" s="66">
        <f>IF($I$4=0,0,F20)</f>
        <v>1635.39</v>
      </c>
      <c r="J20" s="66">
        <f>IF($J$4=0,0,F20)</f>
        <v>1635.39</v>
      </c>
      <c r="K20" s="66">
        <f>IF($K$4=0,0,F20)</f>
        <v>1635.39</v>
      </c>
      <c r="L20" s="66">
        <f>IF($L$4=0,0,F20)</f>
        <v>1635.39</v>
      </c>
      <c r="M20" s="66">
        <f>IF($M$4=0,0,F20)</f>
        <v>1635.39</v>
      </c>
      <c r="N20" s="66">
        <f>IF($N$4=0,0,F20)</f>
        <v>0</v>
      </c>
      <c r="O20" s="66">
        <f>IF($O$4=0,0,F20)</f>
        <v>0</v>
      </c>
      <c r="R20" s="68"/>
      <c r="S20" s="68"/>
      <c r="T20" s="68"/>
      <c r="U20" s="68"/>
    </row>
    <row r="21" spans="1:21" x14ac:dyDescent="0.2">
      <c r="A21" s="74">
        <v>266</v>
      </c>
      <c r="B21" s="74">
        <v>901</v>
      </c>
      <c r="C21" s="167">
        <f>600</f>
        <v>600</v>
      </c>
      <c r="D21" s="312">
        <f>свод!F31</f>
        <v>600</v>
      </c>
      <c r="E21" s="312">
        <f t="shared" si="1"/>
        <v>0</v>
      </c>
      <c r="F21" s="164">
        <f t="shared" ref="F21:F32" si="8">ROUND(C21/$E$4,2)</f>
        <v>1.1599999999999999</v>
      </c>
      <c r="G21" s="165">
        <f t="shared" ref="G21:G32" si="9">H21-C21</f>
        <v>-1.4399999999999409</v>
      </c>
      <c r="H21" s="164">
        <f>I21*$I$4+J21*$J$4+K21*$K$4+L21*$L$4+M21*$M$4+N21*$N$4+O21*$O$4</f>
        <v>598.56000000000006</v>
      </c>
      <c r="I21" s="66">
        <f t="shared" ref="I21:I32" si="10">IF($I$4=0,0,F21)</f>
        <v>1.1599999999999999</v>
      </c>
      <c r="J21" s="66">
        <f t="shared" ref="J21:J32" si="11">IF($J$4=0,0,F21)</f>
        <v>1.1599999999999999</v>
      </c>
      <c r="K21" s="66">
        <f t="shared" ref="K21:K32" si="12">IF($K$4=0,0,I21)</f>
        <v>1.1599999999999999</v>
      </c>
      <c r="L21" s="66">
        <f t="shared" ref="L21:L32" si="13">IF($L$4=0,0,F21)</f>
        <v>1.1599999999999999</v>
      </c>
      <c r="M21" s="66">
        <f t="shared" ref="M21:M32" si="14">IF($M$4=0,0,F21)</f>
        <v>1.1599999999999999</v>
      </c>
      <c r="N21" s="66">
        <f t="shared" ref="N21:N32" si="15">IF($N$4=0,0,F21)</f>
        <v>0</v>
      </c>
      <c r="O21" s="66">
        <f t="shared" ref="O21:O32" si="16">IF($O$4=0,0,F21)</f>
        <v>0</v>
      </c>
      <c r="R21" s="68"/>
      <c r="S21" s="68"/>
      <c r="T21" s="68"/>
      <c r="U21" s="68"/>
    </row>
    <row r="22" spans="1:21" x14ac:dyDescent="0.2">
      <c r="A22" s="74">
        <v>213</v>
      </c>
      <c r="B22" s="74">
        <v>901</v>
      </c>
      <c r="C22" s="167">
        <f>223760+31086</f>
        <v>254846</v>
      </c>
      <c r="D22" s="312">
        <f>свод!F17+свод!F41</f>
        <v>254846</v>
      </c>
      <c r="E22" s="312">
        <f t="shared" si="1"/>
        <v>0</v>
      </c>
      <c r="F22" s="164">
        <f>ROUND((C22+C31+C32)/$E$4,2)</f>
        <v>493.89</v>
      </c>
      <c r="G22" s="165">
        <f t="shared" si="9"/>
        <v>1.2399999999906868</v>
      </c>
      <c r="H22" s="164">
        <f t="shared" si="7"/>
        <v>254847.24</v>
      </c>
      <c r="I22" s="66">
        <f t="shared" si="10"/>
        <v>493.89</v>
      </c>
      <c r="J22" s="66">
        <f t="shared" si="11"/>
        <v>493.89</v>
      </c>
      <c r="K22" s="66">
        <f t="shared" si="12"/>
        <v>493.89</v>
      </c>
      <c r="L22" s="66">
        <f t="shared" si="13"/>
        <v>493.89</v>
      </c>
      <c r="M22" s="66">
        <f t="shared" si="14"/>
        <v>493.89</v>
      </c>
      <c r="N22" s="66">
        <f t="shared" si="15"/>
        <v>0</v>
      </c>
      <c r="O22" s="66">
        <f t="shared" si="16"/>
        <v>0</v>
      </c>
    </row>
    <row r="23" spans="1:21" x14ac:dyDescent="0.2">
      <c r="A23" s="74">
        <v>221</v>
      </c>
      <c r="B23" s="74">
        <v>901</v>
      </c>
      <c r="C23" s="162">
        <v>23999</v>
      </c>
      <c r="D23" s="161">
        <f>свод!F67</f>
        <v>23999</v>
      </c>
      <c r="E23" s="161">
        <f t="shared" si="1"/>
        <v>0</v>
      </c>
      <c r="F23" s="164">
        <f t="shared" si="8"/>
        <v>46.51</v>
      </c>
      <c r="G23" s="165">
        <f t="shared" si="9"/>
        <v>0.15999999999985448</v>
      </c>
      <c r="H23" s="164">
        <f t="shared" si="7"/>
        <v>23999.16</v>
      </c>
      <c r="I23" s="66">
        <f t="shared" si="10"/>
        <v>46.51</v>
      </c>
      <c r="J23" s="66">
        <f t="shared" si="11"/>
        <v>46.51</v>
      </c>
      <c r="K23" s="66">
        <f t="shared" si="12"/>
        <v>46.51</v>
      </c>
      <c r="L23" s="66">
        <f t="shared" si="13"/>
        <v>46.51</v>
      </c>
      <c r="M23" s="66">
        <f t="shared" si="14"/>
        <v>46.51</v>
      </c>
      <c r="N23" s="66">
        <f t="shared" si="15"/>
        <v>0</v>
      </c>
      <c r="O23" s="66">
        <f t="shared" si="16"/>
        <v>0</v>
      </c>
    </row>
    <row r="24" spans="1:21" x14ac:dyDescent="0.2">
      <c r="A24" s="74">
        <v>222</v>
      </c>
      <c r="B24" s="74">
        <v>901</v>
      </c>
      <c r="C24" s="162"/>
      <c r="D24" s="161">
        <f>свод!F68</f>
        <v>0</v>
      </c>
      <c r="E24" s="161">
        <f t="shared" si="1"/>
        <v>0</v>
      </c>
      <c r="F24" s="164">
        <f t="shared" si="8"/>
        <v>0</v>
      </c>
      <c r="G24" s="165">
        <f t="shared" si="9"/>
        <v>0</v>
      </c>
      <c r="H24" s="164">
        <f t="shared" si="7"/>
        <v>0</v>
      </c>
      <c r="I24" s="66">
        <f t="shared" si="10"/>
        <v>0</v>
      </c>
      <c r="J24" s="66">
        <f t="shared" si="11"/>
        <v>0</v>
      </c>
      <c r="K24" s="66">
        <f t="shared" si="12"/>
        <v>0</v>
      </c>
      <c r="L24" s="66">
        <f t="shared" si="13"/>
        <v>0</v>
      </c>
      <c r="M24" s="66">
        <f t="shared" si="14"/>
        <v>0</v>
      </c>
      <c r="N24" s="66">
        <f t="shared" si="15"/>
        <v>0</v>
      </c>
      <c r="O24" s="66">
        <f t="shared" si="16"/>
        <v>0</v>
      </c>
    </row>
    <row r="25" spans="1:21" x14ac:dyDescent="0.2">
      <c r="A25" s="74">
        <v>223</v>
      </c>
      <c r="B25" s="74">
        <v>901</v>
      </c>
      <c r="C25" s="162">
        <v>982027</v>
      </c>
      <c r="D25" s="161">
        <f>свод!F104+свод!F112+свод!F113+свод!F45</f>
        <v>982027</v>
      </c>
      <c r="E25" s="161">
        <f t="shared" si="1"/>
        <v>0</v>
      </c>
      <c r="F25" s="164">
        <f t="shared" si="8"/>
        <v>1903.15</v>
      </c>
      <c r="G25" s="165">
        <f t="shared" si="9"/>
        <v>-1.5999999998603016</v>
      </c>
      <c r="H25" s="164">
        <f t="shared" si="7"/>
        <v>982025.40000000014</v>
      </c>
      <c r="I25" s="66">
        <f>IF($I$4=0,0,F25)</f>
        <v>1903.15</v>
      </c>
      <c r="J25" s="66">
        <f t="shared" si="11"/>
        <v>1903.15</v>
      </c>
      <c r="K25" s="66">
        <f t="shared" si="12"/>
        <v>1903.15</v>
      </c>
      <c r="L25" s="66">
        <f t="shared" si="13"/>
        <v>1903.15</v>
      </c>
      <c r="M25" s="66">
        <f t="shared" si="14"/>
        <v>1903.15</v>
      </c>
      <c r="N25" s="66">
        <f t="shared" si="15"/>
        <v>0</v>
      </c>
      <c r="O25" s="66">
        <f t="shared" si="16"/>
        <v>0</v>
      </c>
    </row>
    <row r="26" spans="1:21" x14ac:dyDescent="0.2">
      <c r="A26" s="74"/>
      <c r="B26" s="74">
        <v>901</v>
      </c>
      <c r="C26" s="162"/>
      <c r="D26" s="161"/>
      <c r="E26" s="161">
        <f t="shared" si="1"/>
        <v>0</v>
      </c>
      <c r="F26" s="164">
        <f t="shared" si="8"/>
        <v>0</v>
      </c>
      <c r="G26" s="165">
        <f t="shared" si="9"/>
        <v>0</v>
      </c>
      <c r="H26" s="164">
        <f t="shared" si="7"/>
        <v>0</v>
      </c>
      <c r="I26" s="66">
        <f t="shared" si="10"/>
        <v>0</v>
      </c>
      <c r="J26" s="66">
        <f t="shared" si="11"/>
        <v>0</v>
      </c>
      <c r="K26" s="66">
        <f t="shared" si="12"/>
        <v>0</v>
      </c>
      <c r="L26" s="66">
        <f t="shared" si="13"/>
        <v>0</v>
      </c>
      <c r="M26" s="66">
        <f t="shared" si="14"/>
        <v>0</v>
      </c>
      <c r="N26" s="66">
        <f t="shared" si="15"/>
        <v>0</v>
      </c>
      <c r="O26" s="66">
        <f t="shared" si="16"/>
        <v>0</v>
      </c>
    </row>
    <row r="27" spans="1:21" x14ac:dyDescent="0.2">
      <c r="A27" s="74">
        <v>225</v>
      </c>
      <c r="B27" s="74">
        <v>901</v>
      </c>
      <c r="C27" s="162">
        <v>113318</v>
      </c>
      <c r="D27" s="161">
        <f>свод!F46+свод!F47+свод!F48+свод!F49+свод!F50+свод!F51+свод!F52+свод!F53+свод!F54+свод!F56+свод!F57+свод!F58+свод!F59+свод!F60+свод!F62+0.48</f>
        <v>113317.99999999999</v>
      </c>
      <c r="E27" s="161">
        <f t="shared" si="1"/>
        <v>0</v>
      </c>
      <c r="F27" s="164">
        <f>ROUND(C27/$E$4,2)</f>
        <v>219.61</v>
      </c>
      <c r="G27" s="165">
        <f t="shared" si="9"/>
        <v>0.76000000000931323</v>
      </c>
      <c r="H27" s="164">
        <f t="shared" si="7"/>
        <v>113318.76000000001</v>
      </c>
      <c r="I27" s="66">
        <f>IF($I$4=0,0,F27)</f>
        <v>219.61</v>
      </c>
      <c r="J27" s="66">
        <f t="shared" si="11"/>
        <v>219.61</v>
      </c>
      <c r="K27" s="66">
        <f t="shared" si="12"/>
        <v>219.61</v>
      </c>
      <c r="L27" s="66">
        <f t="shared" si="13"/>
        <v>219.61</v>
      </c>
      <c r="M27" s="66">
        <f t="shared" si="14"/>
        <v>219.61</v>
      </c>
      <c r="N27" s="66">
        <f t="shared" si="15"/>
        <v>0</v>
      </c>
      <c r="O27" s="66">
        <f t="shared" si="16"/>
        <v>0</v>
      </c>
    </row>
    <row r="28" spans="1:21" x14ac:dyDescent="0.2">
      <c r="A28" s="74">
        <v>226</v>
      </c>
      <c r="B28" s="74">
        <v>901</v>
      </c>
      <c r="C28" s="162">
        <v>431800</v>
      </c>
      <c r="D28" s="161">
        <f>свод!F69+свод!F71+свод!F75+свод!F77+свод!F61+свод!F74</f>
        <v>431800</v>
      </c>
      <c r="E28" s="161">
        <f t="shared" si="1"/>
        <v>0</v>
      </c>
      <c r="F28" s="164">
        <f t="shared" si="8"/>
        <v>836.82</v>
      </c>
      <c r="G28" s="165">
        <f t="shared" si="9"/>
        <v>-0.87999999994644895</v>
      </c>
      <c r="H28" s="164">
        <f t="shared" si="7"/>
        <v>431799.12000000005</v>
      </c>
      <c r="I28" s="66">
        <f t="shared" si="10"/>
        <v>836.82</v>
      </c>
      <c r="J28" s="66">
        <f t="shared" si="11"/>
        <v>836.82</v>
      </c>
      <c r="K28" s="66">
        <f t="shared" si="12"/>
        <v>836.82</v>
      </c>
      <c r="L28" s="66">
        <f t="shared" si="13"/>
        <v>836.82</v>
      </c>
      <c r="M28" s="66">
        <f t="shared" si="14"/>
        <v>836.82</v>
      </c>
      <c r="N28" s="66">
        <f t="shared" si="15"/>
        <v>0</v>
      </c>
      <c r="O28" s="66">
        <f t="shared" si="16"/>
        <v>0</v>
      </c>
    </row>
    <row r="29" spans="1:21" x14ac:dyDescent="0.2">
      <c r="A29" s="74">
        <v>291</v>
      </c>
      <c r="B29" s="74">
        <v>901</v>
      </c>
      <c r="C29" s="162">
        <v>525669</v>
      </c>
      <c r="D29" s="161">
        <f>свод!F107+свод!F108+свод!F109</f>
        <v>525669</v>
      </c>
      <c r="E29" s="161">
        <f t="shared" si="1"/>
        <v>0</v>
      </c>
      <c r="F29" s="164">
        <f>ROUND(C29/$E$4,2)</f>
        <v>1018.74</v>
      </c>
      <c r="G29" s="165">
        <f t="shared" si="9"/>
        <v>0.83999999996740371</v>
      </c>
      <c r="H29" s="164">
        <f t="shared" si="7"/>
        <v>525669.84</v>
      </c>
      <c r="I29" s="66">
        <f t="shared" si="10"/>
        <v>1018.74</v>
      </c>
      <c r="J29" s="66">
        <f t="shared" si="11"/>
        <v>1018.74</v>
      </c>
      <c r="K29" s="66">
        <f t="shared" si="12"/>
        <v>1018.74</v>
      </c>
      <c r="L29" s="66">
        <f t="shared" si="13"/>
        <v>1018.74</v>
      </c>
      <c r="M29" s="66">
        <f t="shared" si="14"/>
        <v>1018.74</v>
      </c>
      <c r="N29" s="66">
        <f t="shared" si="15"/>
        <v>0</v>
      </c>
      <c r="O29" s="66">
        <f t="shared" si="16"/>
        <v>0</v>
      </c>
    </row>
    <row r="30" spans="1:21" x14ac:dyDescent="0.2">
      <c r="A30" s="598" t="s">
        <v>461</v>
      </c>
      <c r="B30" s="74">
        <v>901</v>
      </c>
      <c r="C30" s="162">
        <f>100000+135500+11042</f>
        <v>246542</v>
      </c>
      <c r="D30" s="161">
        <f>свод!F89</f>
        <v>246542</v>
      </c>
      <c r="E30" s="161">
        <f t="shared" si="1"/>
        <v>0</v>
      </c>
      <c r="F30" s="164">
        <f t="shared" si="8"/>
        <v>477.79</v>
      </c>
      <c r="G30" s="165">
        <f t="shared" si="9"/>
        <v>-2.360000000015134</v>
      </c>
      <c r="H30" s="164">
        <f t="shared" si="7"/>
        <v>246539.63999999998</v>
      </c>
      <c r="I30" s="66">
        <f t="shared" si="10"/>
        <v>477.79</v>
      </c>
      <c r="J30" s="66">
        <f t="shared" si="11"/>
        <v>477.79</v>
      </c>
      <c r="K30" s="66">
        <f t="shared" si="12"/>
        <v>477.79</v>
      </c>
      <c r="L30" s="66">
        <f t="shared" si="13"/>
        <v>477.79</v>
      </c>
      <c r="M30" s="66">
        <f t="shared" si="14"/>
        <v>477.79</v>
      </c>
      <c r="N30" s="66">
        <f t="shared" si="15"/>
        <v>0</v>
      </c>
      <c r="O30" s="66">
        <f t="shared" si="16"/>
        <v>0</v>
      </c>
    </row>
    <row r="31" spans="1:21" x14ac:dyDescent="0.2">
      <c r="A31" s="296" t="s">
        <v>306</v>
      </c>
      <c r="B31" s="168"/>
      <c r="C31" s="167"/>
      <c r="D31" s="161">
        <f>свод!F90</f>
        <v>0</v>
      </c>
      <c r="E31" s="161">
        <f t="shared" si="1"/>
        <v>0</v>
      </c>
      <c r="F31" s="164">
        <f t="shared" si="8"/>
        <v>0</v>
      </c>
      <c r="G31" s="165">
        <f t="shared" si="9"/>
        <v>0</v>
      </c>
      <c r="H31" s="164">
        <f t="shared" si="7"/>
        <v>0</v>
      </c>
      <c r="I31" s="66">
        <f t="shared" si="10"/>
        <v>0</v>
      </c>
      <c r="J31" s="66">
        <f t="shared" si="11"/>
        <v>0</v>
      </c>
      <c r="K31" s="66">
        <f t="shared" si="12"/>
        <v>0</v>
      </c>
      <c r="L31" s="66">
        <f t="shared" si="13"/>
        <v>0</v>
      </c>
      <c r="M31" s="66">
        <f t="shared" si="14"/>
        <v>0</v>
      </c>
      <c r="N31" s="66">
        <f t="shared" si="15"/>
        <v>0</v>
      </c>
      <c r="O31" s="66">
        <f t="shared" si="16"/>
        <v>0</v>
      </c>
    </row>
    <row r="32" spans="1:21" x14ac:dyDescent="0.2">
      <c r="A32" s="296" t="s">
        <v>307</v>
      </c>
      <c r="B32" s="168"/>
      <c r="C32" s="167"/>
      <c r="D32" s="161">
        <f>свод!F91</f>
        <v>0</v>
      </c>
      <c r="E32" s="161">
        <f t="shared" si="1"/>
        <v>0</v>
      </c>
      <c r="F32" s="164">
        <f t="shared" si="8"/>
        <v>0</v>
      </c>
      <c r="G32" s="165">
        <f t="shared" si="9"/>
        <v>0</v>
      </c>
      <c r="H32" s="164">
        <f t="shared" si="7"/>
        <v>0</v>
      </c>
      <c r="I32" s="66">
        <f t="shared" si="10"/>
        <v>0</v>
      </c>
      <c r="J32" s="66">
        <f t="shared" si="11"/>
        <v>0</v>
      </c>
      <c r="K32" s="66">
        <f t="shared" si="12"/>
        <v>0</v>
      </c>
      <c r="L32" s="66">
        <f t="shared" si="13"/>
        <v>0</v>
      </c>
      <c r="M32" s="66">
        <f t="shared" si="14"/>
        <v>0</v>
      </c>
      <c r="N32" s="66">
        <f t="shared" si="15"/>
        <v>0</v>
      </c>
      <c r="O32" s="66">
        <f t="shared" si="16"/>
        <v>0</v>
      </c>
    </row>
    <row r="33" spans="1:16" x14ac:dyDescent="0.2">
      <c r="C33" s="83">
        <f>C20+C22+C23+C25+C27+C28+C29+C30+C21</f>
        <v>3422663</v>
      </c>
      <c r="F33" s="69"/>
      <c r="G33" s="174">
        <f>G19+G20+G21+G22+G23+G24+G25+G26+G27+G28+G29+G30</f>
        <v>-3.6800000003435116</v>
      </c>
      <c r="H33" s="163">
        <f>H19+H20+H21+H22+H23+H24+H25+H26+H27+H28+H29+H30</f>
        <v>21506673.599999998</v>
      </c>
      <c r="I33" s="163">
        <f>IF(I4=0,0,I19+I20+I21+I22+I23+I24+I25+I26+I27+I28+I29+I30)</f>
        <v>41679.600000000006</v>
      </c>
      <c r="J33" s="163">
        <f t="shared" ref="J33:O33" si="17">IF(J4=0,0,J19+J20+J21+J22+J23+J24+J25+J26+J27+J28+J29+J30)</f>
        <v>41679.600000000006</v>
      </c>
      <c r="K33" s="163">
        <f t="shared" si="17"/>
        <v>41679.600000000006</v>
      </c>
      <c r="L33" s="163">
        <f t="shared" si="17"/>
        <v>41679.600000000006</v>
      </c>
      <c r="M33" s="163">
        <f t="shared" si="17"/>
        <v>41679.600000000006</v>
      </c>
      <c r="N33" s="163">
        <f t="shared" si="17"/>
        <v>0</v>
      </c>
      <c r="O33" s="163">
        <f t="shared" si="17"/>
        <v>0</v>
      </c>
      <c r="P33" s="163"/>
    </row>
    <row r="34" spans="1:16" x14ac:dyDescent="0.2">
      <c r="I34" s="1014">
        <f>IF((I4+J4)=0,0,ROUND((I33*I4+J33*J4)/(I4+J4),2))</f>
        <v>41679.599999999999</v>
      </c>
      <c r="J34" s="1014"/>
      <c r="K34" s="1003">
        <f t="shared" ref="K34" si="18">IF((K4+L4)=0,0,ROUND((K33*K4+L33*L4)/(K4+L4),2))</f>
        <v>41679.599999999999</v>
      </c>
      <c r="L34" s="1003"/>
      <c r="M34" s="295">
        <f t="shared" ref="M34" si="19">IF((M4+N4)=0,0,ROUND((M33*M4+N33*N4)/(M4+N4),2))</f>
        <v>41679.599999999999</v>
      </c>
      <c r="N34" s="295"/>
      <c r="O34" s="66">
        <f>O33</f>
        <v>0</v>
      </c>
    </row>
    <row r="35" spans="1:16" x14ac:dyDescent="0.2">
      <c r="N35" s="83"/>
    </row>
    <row r="36" spans="1:16" x14ac:dyDescent="0.2">
      <c r="A36" s="1011" t="s">
        <v>552</v>
      </c>
      <c r="B36" s="1011"/>
      <c r="C36" s="74"/>
      <c r="D36" s="74"/>
      <c r="E36" s="74"/>
      <c r="I36" s="66">
        <f>C17/E4</f>
        <v>35046.54069767442</v>
      </c>
      <c r="O36" s="66">
        <f t="shared" ref="O36" si="20">O7/K4</f>
        <v>0</v>
      </c>
    </row>
    <row r="37" spans="1:16" x14ac:dyDescent="0.2">
      <c r="A37" s="74"/>
      <c r="B37" s="74"/>
      <c r="C37" s="74" t="s">
        <v>97</v>
      </c>
      <c r="D37" s="74"/>
      <c r="E37" s="74"/>
      <c r="I37" s="83"/>
    </row>
    <row r="38" spans="1:16" x14ac:dyDescent="0.2">
      <c r="A38" s="74"/>
      <c r="B38" s="74"/>
      <c r="C38" s="74" t="s">
        <v>90</v>
      </c>
      <c r="D38" s="74" t="s">
        <v>465</v>
      </c>
      <c r="E38" s="74" t="s">
        <v>466</v>
      </c>
    </row>
    <row r="39" spans="1:16" x14ac:dyDescent="0.2">
      <c r="A39" s="74" t="s">
        <v>127</v>
      </c>
      <c r="B39" s="74"/>
      <c r="C39" s="74">
        <v>7965.43</v>
      </c>
      <c r="D39" s="74">
        <v>0.83273169999999996</v>
      </c>
      <c r="E39" s="74">
        <f>E4</f>
        <v>516</v>
      </c>
    </row>
    <row r="40" spans="1:16" x14ac:dyDescent="0.2">
      <c r="A40" s="74" t="s">
        <v>120</v>
      </c>
      <c r="B40" s="74"/>
      <c r="C40" s="74">
        <f>I36</f>
        <v>35046.54069767442</v>
      </c>
      <c r="D40" s="74">
        <v>1</v>
      </c>
      <c r="E40" s="74">
        <f>E4</f>
        <v>516</v>
      </c>
    </row>
    <row r="41" spans="1:16" x14ac:dyDescent="0.2">
      <c r="A41" s="1012" t="s">
        <v>570</v>
      </c>
      <c r="B41" s="1012"/>
      <c r="C41" s="606">
        <f>C33-ROUND(C39*D39*E39,2)</f>
        <v>0.91000000014901161</v>
      </c>
      <c r="D41" s="74"/>
      <c r="E41" s="74"/>
    </row>
    <row r="42" spans="1:16" x14ac:dyDescent="0.2">
      <c r="A42" s="1012" t="s">
        <v>571</v>
      </c>
      <c r="B42" s="1012"/>
      <c r="C42" s="606">
        <f>C17-C40*E40</f>
        <v>0</v>
      </c>
      <c r="D42" s="74"/>
      <c r="E42" s="74"/>
    </row>
    <row r="55" spans="1:5" ht="15" x14ac:dyDescent="0.25">
      <c r="A55" s="15" t="s">
        <v>577</v>
      </c>
      <c r="B55" s="70"/>
      <c r="C55" s="211"/>
      <c r="D55" s="941" t="s">
        <v>578</v>
      </c>
      <c r="E55" s="942"/>
    </row>
    <row r="56" spans="1:5" x14ac:dyDescent="0.2">
      <c r="A56" s="67"/>
      <c r="B56" s="67"/>
      <c r="C56" s="67"/>
      <c r="D56" s="67"/>
      <c r="E56" s="14"/>
    </row>
    <row r="57" spans="1:5" ht="15" x14ac:dyDescent="0.25">
      <c r="A57" s="11" t="s">
        <v>587</v>
      </c>
      <c r="B57" s="67"/>
      <c r="C57" s="212"/>
      <c r="D57" s="941" t="s">
        <v>580</v>
      </c>
      <c r="E57" s="942"/>
    </row>
  </sheetData>
  <mergeCells count="11">
    <mergeCell ref="D55:E55"/>
    <mergeCell ref="D57:E57"/>
    <mergeCell ref="A36:B36"/>
    <mergeCell ref="A41:B41"/>
    <mergeCell ref="M2:N2"/>
    <mergeCell ref="I34:J34"/>
    <mergeCell ref="K34:L34"/>
    <mergeCell ref="A2:E2"/>
    <mergeCell ref="I2:J2"/>
    <mergeCell ref="K2:L2"/>
    <mergeCell ref="A42:B42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topLeftCell="A13" zoomScale="115" zoomScaleNormal="115" workbookViewId="0">
      <selection activeCell="C29" sqref="C29"/>
    </sheetView>
  </sheetViews>
  <sheetFormatPr defaultColWidth="9.140625" defaultRowHeight="12.75" x14ac:dyDescent="0.2"/>
  <cols>
    <col min="1" max="1" width="9.7109375" style="66" customWidth="1"/>
    <col min="2" max="2" width="7.5703125" style="66" customWidth="1"/>
    <col min="3" max="3" width="15.5703125" style="66" customWidth="1"/>
    <col min="4" max="4" width="18.140625" style="66" customWidth="1"/>
    <col min="5" max="5" width="15.140625" style="66" customWidth="1"/>
    <col min="6" max="6" width="8" style="66" customWidth="1"/>
    <col min="7" max="7" width="13.42578125" style="66" bestFit="1" customWidth="1"/>
    <col min="8" max="8" width="15.85546875" style="66" customWidth="1"/>
    <col min="9" max="9" width="13.42578125" style="66" customWidth="1"/>
    <col min="10" max="10" width="10.7109375" style="66" bestFit="1" customWidth="1"/>
    <col min="11" max="11" width="9.140625" style="66"/>
    <col min="12" max="12" width="10.28515625" style="66" customWidth="1"/>
    <col min="13" max="13" width="9.140625" style="66"/>
    <col min="14" max="14" width="10.140625" style="66" bestFit="1" customWidth="1"/>
    <col min="15" max="17" width="9.140625" style="66"/>
    <col min="18" max="18" width="0" style="66" hidden="1" customWidth="1"/>
    <col min="19" max="19" width="10.28515625" style="66" hidden="1" customWidth="1"/>
    <col min="20" max="20" width="11.7109375" style="66" hidden="1" customWidth="1"/>
    <col min="21" max="16384" width="9.140625" style="66"/>
  </cols>
  <sheetData>
    <row r="1" spans="1:20" ht="15.75" x14ac:dyDescent="0.2">
      <c r="F1" s="69"/>
      <c r="G1" s="69"/>
      <c r="H1" s="69"/>
      <c r="I1" s="68" t="s">
        <v>225</v>
      </c>
      <c r="J1" s="68"/>
      <c r="K1" s="68"/>
      <c r="L1" s="68"/>
      <c r="M1" s="68"/>
      <c r="N1" s="160"/>
      <c r="O1" s="68"/>
      <c r="P1" s="68"/>
      <c r="Q1" s="160"/>
      <c r="R1" s="160"/>
    </row>
    <row r="2" spans="1:20" ht="18" x14ac:dyDescent="0.25">
      <c r="A2" s="1015" t="s">
        <v>222</v>
      </c>
      <c r="B2" s="1015"/>
      <c r="C2" s="1015"/>
      <c r="D2" s="1015"/>
      <c r="E2" s="1015"/>
      <c r="F2" s="69"/>
      <c r="G2" s="69"/>
      <c r="H2" s="69"/>
      <c r="I2" s="1013" t="s">
        <v>567</v>
      </c>
      <c r="J2" s="1013"/>
      <c r="K2" s="1013" t="s">
        <v>565</v>
      </c>
      <c r="L2" s="1013"/>
      <c r="M2" s="1013" t="s">
        <v>566</v>
      </c>
      <c r="N2" s="1013"/>
      <c r="O2" s="68"/>
      <c r="R2" s="68" t="s">
        <v>296</v>
      </c>
      <c r="S2" s="68"/>
    </row>
    <row r="3" spans="1:20" x14ac:dyDescent="0.2">
      <c r="F3" s="69"/>
      <c r="G3" s="69"/>
      <c r="H3" s="69"/>
      <c r="I3" s="68" t="s">
        <v>297</v>
      </c>
      <c r="J3" s="66" t="s">
        <v>548</v>
      </c>
      <c r="K3" s="68" t="s">
        <v>297</v>
      </c>
      <c r="L3" s="66" t="s">
        <v>548</v>
      </c>
      <c r="M3" s="68" t="s">
        <v>297</v>
      </c>
      <c r="N3" s="66" t="s">
        <v>548</v>
      </c>
      <c r="O3" s="68"/>
      <c r="P3" s="68"/>
      <c r="R3" s="172" t="s">
        <v>226</v>
      </c>
      <c r="S3" s="172" t="s">
        <v>223</v>
      </c>
      <c r="T3" s="172" t="s">
        <v>224</v>
      </c>
    </row>
    <row r="4" spans="1:20" ht="18.75" x14ac:dyDescent="0.3">
      <c r="C4" s="66" t="s">
        <v>120</v>
      </c>
      <c r="E4" s="66">
        <f>I4+J4+K4+L4+M4+N4+O4</f>
        <v>530</v>
      </c>
      <c r="F4" s="69"/>
      <c r="G4" s="69" t="s">
        <v>219</v>
      </c>
      <c r="H4" s="69"/>
      <c r="I4" s="158">
        <v>227</v>
      </c>
      <c r="J4" s="158">
        <v>2</v>
      </c>
      <c r="K4" s="158">
        <v>248</v>
      </c>
      <c r="L4" s="158">
        <v>2</v>
      </c>
      <c r="M4" s="158">
        <v>51</v>
      </c>
      <c r="N4" s="158">
        <v>0</v>
      </c>
      <c r="O4" s="158"/>
      <c r="P4" s="171"/>
      <c r="Q4" s="68"/>
      <c r="R4" s="175">
        <v>0</v>
      </c>
      <c r="S4" s="175">
        <v>0</v>
      </c>
      <c r="T4" s="175">
        <v>0</v>
      </c>
    </row>
    <row r="5" spans="1:20" x14ac:dyDescent="0.2">
      <c r="A5" s="74" t="s">
        <v>110</v>
      </c>
      <c r="B5" s="74" t="s">
        <v>221</v>
      </c>
      <c r="C5" s="74" t="s">
        <v>220</v>
      </c>
      <c r="D5" s="74" t="s">
        <v>90</v>
      </c>
      <c r="E5" s="74" t="s">
        <v>219</v>
      </c>
      <c r="F5" s="69"/>
      <c r="G5" s="69"/>
      <c r="H5" s="69"/>
      <c r="I5" s="259"/>
      <c r="J5" s="259"/>
      <c r="K5" s="259"/>
      <c r="L5" s="259"/>
      <c r="M5" s="259"/>
      <c r="N5" s="259"/>
      <c r="O5" s="259"/>
      <c r="P5" s="68"/>
      <c r="Q5" s="68"/>
      <c r="R5" s="172"/>
      <c r="S5" s="172"/>
      <c r="T5" s="172"/>
    </row>
    <row r="6" spans="1:20" s="163" customFormat="1" x14ac:dyDescent="0.2">
      <c r="A6" s="169"/>
      <c r="B6" s="169"/>
      <c r="C6" s="170">
        <f>SUM(C14:C27)</f>
        <v>23055800</v>
      </c>
      <c r="D6" s="170"/>
      <c r="E6" s="170"/>
      <c r="F6" s="165"/>
      <c r="G6" s="165"/>
      <c r="H6" s="165"/>
      <c r="I6" s="175">
        <f>'проверка 2020'!I6</f>
        <v>0</v>
      </c>
      <c r="J6" s="175">
        <f>'проверка 2020'!J6</f>
        <v>0</v>
      </c>
      <c r="K6" s="175">
        <f>'проверка 2020'!K6</f>
        <v>0</v>
      </c>
      <c r="L6" s="175">
        <f>'проверка 2020'!L6</f>
        <v>0</v>
      </c>
      <c r="M6" s="175">
        <f>'проверка 2020'!M6</f>
        <v>0</v>
      </c>
      <c r="N6" s="175">
        <f>'проверка 2020'!N6</f>
        <v>0</v>
      </c>
      <c r="O6" s="175">
        <f>'проверка 2020'!O6</f>
        <v>0</v>
      </c>
      <c r="P6" s="68" t="s">
        <v>230</v>
      </c>
      <c r="Q6" s="68"/>
      <c r="R6" s="172"/>
      <c r="S6" s="172"/>
      <c r="T6" s="172"/>
    </row>
    <row r="7" spans="1:20" s="163" customFormat="1" x14ac:dyDescent="0.2">
      <c r="A7" s="169">
        <v>211</v>
      </c>
      <c r="B7" s="168" t="s">
        <v>218</v>
      </c>
      <c r="C7" s="167">
        <v>14423537</v>
      </c>
      <c r="D7" s="166"/>
      <c r="E7" s="161"/>
      <c r="F7" s="69"/>
      <c r="G7" s="69"/>
      <c r="H7" s="69"/>
      <c r="I7" s="342">
        <v>3106.7</v>
      </c>
      <c r="J7" s="343"/>
      <c r="K7" s="342">
        <v>4032.82</v>
      </c>
      <c r="L7" s="343"/>
      <c r="M7" s="342">
        <v>4238.63</v>
      </c>
      <c r="N7" s="338"/>
      <c r="O7" s="338"/>
      <c r="P7" s="68" t="s">
        <v>229</v>
      </c>
      <c r="Q7" s="68"/>
      <c r="R7" s="172"/>
      <c r="S7" s="172"/>
      <c r="T7" s="172"/>
    </row>
    <row r="8" spans="1:20" s="163" customFormat="1" x14ac:dyDescent="0.2">
      <c r="A8" s="169">
        <v>213</v>
      </c>
      <c r="B8" s="168" t="s">
        <v>218</v>
      </c>
      <c r="C8" s="167">
        <v>4355908</v>
      </c>
      <c r="D8" s="166"/>
      <c r="E8" s="161"/>
      <c r="F8" s="164"/>
      <c r="G8" s="164"/>
      <c r="H8" s="164">
        <f>I8*$I$4+J8*$J$4+K8*$K$4+L8*$L$4+M8*$M$4+N8*$N$4+O8*$O$4</f>
        <v>13288337.800000001</v>
      </c>
      <c r="I8" s="340">
        <v>19518.2</v>
      </c>
      <c r="J8" s="340">
        <v>46006.5</v>
      </c>
      <c r="K8" s="340">
        <v>28135.9</v>
      </c>
      <c r="L8" s="340">
        <v>72905.3</v>
      </c>
      <c r="M8" s="340">
        <v>32199.599999999999</v>
      </c>
      <c r="N8" s="340">
        <v>114664.6</v>
      </c>
      <c r="O8" s="339">
        <f>IF(O4=0,0,ROUND((R8*R4+S8*S4+T8*T4)/O4,0))</f>
        <v>0</v>
      </c>
      <c r="P8" s="68" t="s">
        <v>227</v>
      </c>
      <c r="Q8" s="68"/>
      <c r="R8" s="340">
        <f>J8</f>
        <v>46006.5</v>
      </c>
      <c r="S8" s="340">
        <f>L8</f>
        <v>72905.3</v>
      </c>
      <c r="T8" s="340">
        <f>N8</f>
        <v>114664.6</v>
      </c>
    </row>
    <row r="9" spans="1:20" s="163" customFormat="1" x14ac:dyDescent="0.2">
      <c r="A9" s="169">
        <v>221</v>
      </c>
      <c r="B9" s="168" t="s">
        <v>218</v>
      </c>
      <c r="C9" s="167">
        <v>46140</v>
      </c>
      <c r="D9" s="166"/>
      <c r="E9" s="161"/>
      <c r="F9" s="164"/>
      <c r="G9" s="164"/>
      <c r="H9" s="164">
        <f>I9*$I$4+J9*$J$4+K9*$K$4+L9*$L$4+M9*$M$4+N9*$N$4+O9*$O$4</f>
        <v>4267279.8999999994</v>
      </c>
      <c r="I9" s="340">
        <v>6191.5</v>
      </c>
      <c r="J9" s="340">
        <v>15293.1</v>
      </c>
      <c r="K9" s="601">
        <v>9068.2999999999993</v>
      </c>
      <c r="L9" s="602">
        <v>24437.9</v>
      </c>
      <c r="M9" s="601">
        <v>10459</v>
      </c>
      <c r="N9" s="602">
        <v>38750.5</v>
      </c>
      <c r="O9" s="339">
        <f>IF(O4=0,0,ROUND((R9*R4+S9*S4+T9*T4)/O4,0))</f>
        <v>0</v>
      </c>
      <c r="P9" s="68" t="s">
        <v>228</v>
      </c>
      <c r="Q9" s="68"/>
      <c r="R9" s="340">
        <f>J9</f>
        <v>15293.1</v>
      </c>
      <c r="S9" s="341">
        <f>L9</f>
        <v>24437.9</v>
      </c>
      <c r="T9" s="341">
        <f>N9</f>
        <v>38750.5</v>
      </c>
    </row>
    <row r="10" spans="1:20" s="163" customFormat="1" x14ac:dyDescent="0.2">
      <c r="A10" s="169">
        <v>226</v>
      </c>
      <c r="B10" s="168" t="s">
        <v>218</v>
      </c>
      <c r="C10" s="173">
        <v>20848</v>
      </c>
      <c r="D10" s="166"/>
      <c r="E10" s="161"/>
      <c r="F10" s="164">
        <f>ROUND(C10/$E$4,2)</f>
        <v>39.340000000000003</v>
      </c>
      <c r="G10" s="164"/>
      <c r="H10" s="164"/>
      <c r="I10" s="66">
        <f>$F$10</f>
        <v>39.340000000000003</v>
      </c>
      <c r="J10" s="66">
        <f t="shared" ref="J10:O10" si="0">$F$10</f>
        <v>39.340000000000003</v>
      </c>
      <c r="K10" s="66">
        <f t="shared" si="0"/>
        <v>39.340000000000003</v>
      </c>
      <c r="L10" s="66">
        <f t="shared" si="0"/>
        <v>39.340000000000003</v>
      </c>
      <c r="M10" s="66">
        <f t="shared" si="0"/>
        <v>39.340000000000003</v>
      </c>
      <c r="N10" s="66">
        <f t="shared" si="0"/>
        <v>39.340000000000003</v>
      </c>
      <c r="O10" s="66">
        <f t="shared" si="0"/>
        <v>39.340000000000003</v>
      </c>
      <c r="P10" s="68"/>
      <c r="Q10" s="68"/>
      <c r="R10" s="68"/>
      <c r="S10" s="68"/>
      <c r="T10" s="68"/>
    </row>
    <row r="11" spans="1:20" s="163" customFormat="1" x14ac:dyDescent="0.2">
      <c r="A11" s="169">
        <v>226</v>
      </c>
      <c r="B11" s="168" t="s">
        <v>218</v>
      </c>
      <c r="C11" s="167">
        <v>20000</v>
      </c>
      <c r="D11" s="166"/>
      <c r="E11" s="161"/>
      <c r="F11" s="164"/>
      <c r="G11" s="164"/>
      <c r="H11" s="164"/>
      <c r="I11" s="258"/>
      <c r="J11" s="258"/>
      <c r="K11" s="258"/>
      <c r="L11" s="258"/>
      <c r="M11" s="258"/>
      <c r="N11" s="258"/>
      <c r="O11" s="258"/>
      <c r="P11" s="68"/>
      <c r="Q11" s="68"/>
      <c r="R11" s="68"/>
      <c r="S11" s="68"/>
      <c r="T11" s="68"/>
    </row>
    <row r="12" spans="1:20" s="163" customFormat="1" x14ac:dyDescent="0.2">
      <c r="A12" s="169">
        <v>310</v>
      </c>
      <c r="B12" s="168" t="s">
        <v>218</v>
      </c>
      <c r="C12" s="167">
        <v>679353</v>
      </c>
      <c r="D12" s="166"/>
      <c r="E12" s="161"/>
      <c r="F12" s="164"/>
      <c r="G12" s="165"/>
      <c r="I12" s="163">
        <v>227</v>
      </c>
      <c r="J12" s="163">
        <v>248</v>
      </c>
      <c r="K12" s="163">
        <v>51</v>
      </c>
      <c r="L12" s="163">
        <v>2</v>
      </c>
      <c r="M12" s="163">
        <v>2</v>
      </c>
      <c r="N12" s="66">
        <v>0</v>
      </c>
      <c r="O12" s="68"/>
      <c r="P12" s="68"/>
      <c r="Q12" s="68"/>
      <c r="R12" s="68"/>
    </row>
    <row r="13" spans="1:20" s="163" customFormat="1" x14ac:dyDescent="0.2">
      <c r="A13" s="599" t="s">
        <v>460</v>
      </c>
      <c r="B13" s="168" t="s">
        <v>218</v>
      </c>
      <c r="C13" s="167">
        <v>33552</v>
      </c>
      <c r="D13" s="166"/>
      <c r="E13" s="161"/>
      <c r="F13" s="164"/>
      <c r="G13" s="164"/>
    </row>
    <row r="14" spans="1:20" s="163" customFormat="1" ht="13.5" thickBot="1" x14ac:dyDescent="0.25">
      <c r="A14" s="169"/>
      <c r="B14" s="168"/>
      <c r="C14" s="176">
        <f>SUM(C7:C13)</f>
        <v>19579338</v>
      </c>
      <c r="D14" s="176"/>
      <c r="E14" s="176"/>
      <c r="F14" s="164"/>
      <c r="G14" s="165">
        <f>H14-C14</f>
        <v>-2002870.1000000015</v>
      </c>
      <c r="H14" s="164">
        <f>I14*$I$4+J4*$J$14+K14*$K$4+L14*$L$4+M14*$M$4+N14*$N$4+O14*$O$4</f>
        <v>17576467.899999999</v>
      </c>
      <c r="I14" s="146">
        <f>ROUND(IF(I4=0,0,I8+I9+I10)+IF(I6=0,0,I7/I4),2)</f>
        <v>25749.040000000001</v>
      </c>
      <c r="J14" s="146">
        <f t="shared" ref="J14:O14" si="1">ROUND(IF(J4=0,0,J8+J9+J10)+IF(J6=0,0,J7/J4),2)</f>
        <v>61338.94</v>
      </c>
      <c r="K14" s="146">
        <f t="shared" si="1"/>
        <v>37243.54</v>
      </c>
      <c r="L14" s="146">
        <f t="shared" si="1"/>
        <v>97382.54</v>
      </c>
      <c r="M14" s="146">
        <f t="shared" si="1"/>
        <v>42697.94</v>
      </c>
      <c r="N14" s="146">
        <f t="shared" si="1"/>
        <v>0</v>
      </c>
      <c r="O14" s="146">
        <f t="shared" si="1"/>
        <v>0</v>
      </c>
      <c r="P14" s="257"/>
    </row>
    <row r="15" spans="1:20" s="163" customFormat="1" x14ac:dyDescent="0.2">
      <c r="A15" s="169"/>
      <c r="B15" s="168"/>
      <c r="C15" s="176"/>
      <c r="D15" s="176"/>
      <c r="E15" s="176"/>
      <c r="F15" s="164"/>
      <c r="G15" s="165"/>
      <c r="H15" s="164" t="s">
        <v>232</v>
      </c>
      <c r="I15" s="163">
        <f>-ROUND($G$14/$E$4,2)</f>
        <v>3779</v>
      </c>
      <c r="J15" s="163">
        <f t="shared" ref="J15:O15" si="2">-ROUND($G$14/$E$4,2)</f>
        <v>3779</v>
      </c>
      <c r="K15" s="163">
        <f t="shared" si="2"/>
        <v>3779</v>
      </c>
      <c r="L15" s="163">
        <f t="shared" si="2"/>
        <v>3779</v>
      </c>
      <c r="M15" s="163">
        <f t="shared" si="2"/>
        <v>3779</v>
      </c>
      <c r="N15" s="163">
        <f t="shared" si="2"/>
        <v>3779</v>
      </c>
      <c r="O15" s="163">
        <f t="shared" si="2"/>
        <v>3779</v>
      </c>
    </row>
    <row r="16" spans="1:20" s="163" customFormat="1" x14ac:dyDescent="0.2">
      <c r="A16" s="169"/>
      <c r="B16" s="168"/>
      <c r="C16" s="176" t="s">
        <v>551</v>
      </c>
      <c r="D16" s="176"/>
      <c r="E16" s="176"/>
      <c r="F16" s="164"/>
      <c r="G16" s="165">
        <f>C14-H16</f>
        <v>0.10000000149011612</v>
      </c>
      <c r="H16" s="164">
        <f>I16*$I$4+J16*$J$4+K16*$K$4+L16*$L$4+M16*$M$4+N16*$N$4+O16*$O$4</f>
        <v>19579337.899999999</v>
      </c>
      <c r="I16" s="163">
        <f>I14+I15</f>
        <v>29528.04</v>
      </c>
      <c r="J16" s="163">
        <f>J14+J15</f>
        <v>65117.94</v>
      </c>
      <c r="K16" s="163">
        <f t="shared" ref="K16:O16" si="3">K14+K15</f>
        <v>41022.54</v>
      </c>
      <c r="L16" s="163">
        <f t="shared" si="3"/>
        <v>101161.54</v>
      </c>
      <c r="M16" s="163">
        <f t="shared" si="3"/>
        <v>46476.94</v>
      </c>
      <c r="N16" s="163">
        <f t="shared" si="3"/>
        <v>3779</v>
      </c>
      <c r="O16" s="163">
        <f t="shared" si="3"/>
        <v>3779</v>
      </c>
    </row>
    <row r="17" spans="1:21" x14ac:dyDescent="0.2">
      <c r="A17" s="74">
        <v>211</v>
      </c>
      <c r="B17" s="74">
        <v>901</v>
      </c>
      <c r="C17" s="162">
        <f>751565+6000+102935</f>
        <v>860500</v>
      </c>
      <c r="D17" s="161"/>
      <c r="E17" s="161"/>
      <c r="F17" s="164">
        <f>ROUND(C17/$E$4,2)</f>
        <v>1623.58</v>
      </c>
      <c r="G17" s="165">
        <f>H17-C17</f>
        <v>-2.6000000000931323</v>
      </c>
      <c r="H17" s="164">
        <f t="shared" ref="H17:H27" si="4">I17*$I$4+J17*$J$4+K17*$K$4+L17*$L$4+M17*$M$4+N17*$N$4+O17*$O$4</f>
        <v>860497.39999999991</v>
      </c>
      <c r="I17" s="66">
        <f>IF($I$4=0,0,F17)</f>
        <v>1623.58</v>
      </c>
      <c r="J17" s="66">
        <f>IF($J$4=0,0,F17)</f>
        <v>1623.58</v>
      </c>
      <c r="K17" s="66">
        <f>IF($K$4=0,0,F17)</f>
        <v>1623.58</v>
      </c>
      <c r="L17" s="66">
        <f>IF($L$4=0,0,F17)</f>
        <v>1623.58</v>
      </c>
      <c r="M17" s="66">
        <f>IF($M$4=0,0,F17)</f>
        <v>1623.58</v>
      </c>
      <c r="N17" s="66">
        <f>IF($N$4=0,0,F17)</f>
        <v>0</v>
      </c>
      <c r="O17" s="66">
        <f>IF($O$4=0,0,F17)</f>
        <v>0</v>
      </c>
      <c r="R17" s="68"/>
      <c r="S17" s="68"/>
      <c r="T17" s="68"/>
      <c r="U17" s="68"/>
    </row>
    <row r="18" spans="1:21" x14ac:dyDescent="0.2">
      <c r="A18" s="74">
        <v>266</v>
      </c>
      <c r="B18" s="74">
        <v>901</v>
      </c>
      <c r="C18" s="162">
        <v>600</v>
      </c>
      <c r="D18" s="161"/>
      <c r="E18" s="161"/>
      <c r="F18" s="164">
        <f t="shared" ref="F18:F27" si="5">ROUND(C18/$E$4,2)</f>
        <v>1.1299999999999999</v>
      </c>
      <c r="G18" s="165">
        <f t="shared" ref="G18:G27" si="6">H18-C18</f>
        <v>-1.1000000000000227</v>
      </c>
      <c r="H18" s="164">
        <f t="shared" si="4"/>
        <v>598.9</v>
      </c>
      <c r="I18" s="66">
        <f t="shared" ref="I18:I27" si="7">IF($I$4=0,0,F18)</f>
        <v>1.1299999999999999</v>
      </c>
      <c r="J18" s="66">
        <f t="shared" ref="J18:J27" si="8">IF($J$4=0,0,F18)</f>
        <v>1.1299999999999999</v>
      </c>
      <c r="K18" s="66">
        <f t="shared" ref="K18:K27" si="9">IF($K$4=0,0,I18)</f>
        <v>1.1299999999999999</v>
      </c>
      <c r="L18" s="66">
        <f t="shared" ref="L18:L27" si="10">IF($L$4=0,0,F18)</f>
        <v>1.1299999999999999</v>
      </c>
      <c r="M18" s="66">
        <f t="shared" ref="M18:M27" si="11">IF($M$4=0,0,F18)</f>
        <v>1.1299999999999999</v>
      </c>
      <c r="N18" s="66">
        <f t="shared" ref="N18:N27" si="12">IF($N$4=0,0,F18)</f>
        <v>0</v>
      </c>
      <c r="O18" s="66">
        <f t="shared" ref="O18:O27" si="13">IF($O$4=0,0,F18)</f>
        <v>0</v>
      </c>
      <c r="R18" s="68"/>
      <c r="S18" s="68"/>
      <c r="T18" s="68"/>
      <c r="U18" s="68"/>
    </row>
    <row r="19" spans="1:21" x14ac:dyDescent="0.2">
      <c r="A19" s="74">
        <v>213</v>
      </c>
      <c r="B19" s="74">
        <v>901</v>
      </c>
      <c r="C19" s="162">
        <f>228784+31086</f>
        <v>259870</v>
      </c>
      <c r="D19" s="161"/>
      <c r="E19" s="161"/>
      <c r="F19" s="164">
        <f t="shared" si="5"/>
        <v>490.32</v>
      </c>
      <c r="G19" s="165">
        <f t="shared" si="6"/>
        <v>-0.3999999999650754</v>
      </c>
      <c r="H19" s="164">
        <f t="shared" si="4"/>
        <v>259869.60000000003</v>
      </c>
      <c r="I19" s="66">
        <f t="shared" si="7"/>
        <v>490.32</v>
      </c>
      <c r="J19" s="66">
        <f t="shared" si="8"/>
        <v>490.32</v>
      </c>
      <c r="K19" s="66">
        <f t="shared" si="9"/>
        <v>490.32</v>
      </c>
      <c r="L19" s="66">
        <f t="shared" si="10"/>
        <v>490.32</v>
      </c>
      <c r="M19" s="66">
        <f t="shared" si="11"/>
        <v>490.32</v>
      </c>
      <c r="N19" s="66">
        <f t="shared" si="12"/>
        <v>0</v>
      </c>
      <c r="O19" s="66">
        <f t="shared" si="13"/>
        <v>0</v>
      </c>
    </row>
    <row r="20" spans="1:21" x14ac:dyDescent="0.2">
      <c r="A20" s="74">
        <v>221</v>
      </c>
      <c r="B20" s="74">
        <v>901</v>
      </c>
      <c r="C20" s="162">
        <v>23999</v>
      </c>
      <c r="D20" s="161"/>
      <c r="E20" s="161"/>
      <c r="F20" s="164">
        <f t="shared" si="5"/>
        <v>45.28</v>
      </c>
      <c r="G20" s="165">
        <f t="shared" si="6"/>
        <v>-0.60000000000218279</v>
      </c>
      <c r="H20" s="164">
        <f t="shared" si="4"/>
        <v>23998.399999999998</v>
      </c>
      <c r="I20" s="66">
        <f t="shared" si="7"/>
        <v>45.28</v>
      </c>
      <c r="J20" s="66">
        <f t="shared" si="8"/>
        <v>45.28</v>
      </c>
      <c r="K20" s="66">
        <f t="shared" si="9"/>
        <v>45.28</v>
      </c>
      <c r="L20" s="66">
        <f t="shared" si="10"/>
        <v>45.28</v>
      </c>
      <c r="M20" s="66">
        <f t="shared" si="11"/>
        <v>45.28</v>
      </c>
      <c r="N20" s="66">
        <f t="shared" si="12"/>
        <v>0</v>
      </c>
      <c r="O20" s="66">
        <f t="shared" si="13"/>
        <v>0</v>
      </c>
    </row>
    <row r="21" spans="1:21" x14ac:dyDescent="0.2">
      <c r="A21" s="74">
        <v>222</v>
      </c>
      <c r="B21" s="74">
        <v>901</v>
      </c>
      <c r="C21" s="162"/>
      <c r="D21" s="161"/>
      <c r="E21" s="161"/>
      <c r="F21" s="164">
        <f t="shared" si="5"/>
        <v>0</v>
      </c>
      <c r="G21" s="165">
        <f t="shared" si="6"/>
        <v>0</v>
      </c>
      <c r="H21" s="164">
        <f t="shared" si="4"/>
        <v>0</v>
      </c>
      <c r="I21" s="66">
        <f t="shared" si="7"/>
        <v>0</v>
      </c>
      <c r="J21" s="66">
        <f t="shared" si="8"/>
        <v>0</v>
      </c>
      <c r="K21" s="66">
        <f t="shared" si="9"/>
        <v>0</v>
      </c>
      <c r="L21" s="66">
        <f t="shared" si="10"/>
        <v>0</v>
      </c>
      <c r="M21" s="66">
        <f t="shared" si="11"/>
        <v>0</v>
      </c>
      <c r="N21" s="66">
        <f t="shared" si="12"/>
        <v>0</v>
      </c>
      <c r="O21" s="66">
        <f t="shared" si="13"/>
        <v>0</v>
      </c>
    </row>
    <row r="22" spans="1:21" x14ac:dyDescent="0.2">
      <c r="A22" s="74">
        <v>223</v>
      </c>
      <c r="B22" s="74">
        <v>901</v>
      </c>
      <c r="C22" s="162">
        <v>1006964</v>
      </c>
      <c r="D22" s="161"/>
      <c r="E22" s="161"/>
      <c r="F22" s="164">
        <f t="shared" si="5"/>
        <v>1899.93</v>
      </c>
      <c r="G22" s="165">
        <f t="shared" si="6"/>
        <v>-1.0999999999767169</v>
      </c>
      <c r="H22" s="164">
        <f t="shared" si="4"/>
        <v>1006962.9</v>
      </c>
      <c r="I22" s="66">
        <f t="shared" si="7"/>
        <v>1899.93</v>
      </c>
      <c r="J22" s="66">
        <f t="shared" si="8"/>
        <v>1899.93</v>
      </c>
      <c r="K22" s="66">
        <f t="shared" si="9"/>
        <v>1899.93</v>
      </c>
      <c r="L22" s="66">
        <f t="shared" si="10"/>
        <v>1899.93</v>
      </c>
      <c r="M22" s="66">
        <f t="shared" si="11"/>
        <v>1899.93</v>
      </c>
      <c r="N22" s="66">
        <f t="shared" si="12"/>
        <v>0</v>
      </c>
      <c r="O22" s="66">
        <f t="shared" si="13"/>
        <v>0</v>
      </c>
    </row>
    <row r="23" spans="1:21" x14ac:dyDescent="0.2">
      <c r="A23" s="74">
        <v>224</v>
      </c>
      <c r="B23" s="74">
        <v>901</v>
      </c>
      <c r="C23" s="162"/>
      <c r="D23" s="161"/>
      <c r="E23" s="161"/>
      <c r="F23" s="164">
        <f t="shared" si="5"/>
        <v>0</v>
      </c>
      <c r="G23" s="165">
        <f t="shared" si="6"/>
        <v>0</v>
      </c>
      <c r="H23" s="164">
        <f t="shared" si="4"/>
        <v>0</v>
      </c>
      <c r="I23" s="66">
        <f t="shared" si="7"/>
        <v>0</v>
      </c>
      <c r="J23" s="66">
        <f t="shared" si="8"/>
        <v>0</v>
      </c>
      <c r="K23" s="66">
        <f t="shared" si="9"/>
        <v>0</v>
      </c>
      <c r="L23" s="66">
        <f t="shared" si="10"/>
        <v>0</v>
      </c>
      <c r="M23" s="66">
        <f t="shared" si="11"/>
        <v>0</v>
      </c>
      <c r="N23" s="66">
        <f t="shared" si="12"/>
        <v>0</v>
      </c>
      <c r="O23" s="66">
        <f t="shared" si="13"/>
        <v>0</v>
      </c>
    </row>
    <row r="24" spans="1:21" x14ac:dyDescent="0.2">
      <c r="A24" s="74">
        <v>225</v>
      </c>
      <c r="B24" s="74">
        <v>901</v>
      </c>
      <c r="C24" s="162">
        <v>113318</v>
      </c>
      <c r="D24" s="161"/>
      <c r="E24" s="161"/>
      <c r="F24" s="164">
        <f t="shared" si="5"/>
        <v>213.81</v>
      </c>
      <c r="G24" s="165">
        <f t="shared" si="6"/>
        <v>1.2999999999883585</v>
      </c>
      <c r="H24" s="164">
        <f t="shared" si="4"/>
        <v>113319.29999999999</v>
      </c>
      <c r="I24" s="66">
        <f t="shared" si="7"/>
        <v>213.81</v>
      </c>
      <c r="J24" s="66">
        <f t="shared" si="8"/>
        <v>213.81</v>
      </c>
      <c r="K24" s="66">
        <f t="shared" si="9"/>
        <v>213.81</v>
      </c>
      <c r="L24" s="66">
        <f t="shared" si="10"/>
        <v>213.81</v>
      </c>
      <c r="M24" s="66">
        <f t="shared" si="11"/>
        <v>213.81</v>
      </c>
      <c r="N24" s="66">
        <f t="shared" si="12"/>
        <v>0</v>
      </c>
      <c r="O24" s="66">
        <f t="shared" si="13"/>
        <v>0</v>
      </c>
    </row>
    <row r="25" spans="1:21" x14ac:dyDescent="0.2">
      <c r="A25" s="74">
        <v>226</v>
      </c>
      <c r="B25" s="74">
        <v>901</v>
      </c>
      <c r="C25" s="162">
        <v>439000</v>
      </c>
      <c r="D25" s="161"/>
      <c r="E25" s="161"/>
      <c r="F25" s="164">
        <f t="shared" si="5"/>
        <v>828.3</v>
      </c>
      <c r="G25" s="165">
        <f t="shared" si="6"/>
        <v>-1.0000000000582077</v>
      </c>
      <c r="H25" s="164">
        <f t="shared" si="4"/>
        <v>438998.99999999994</v>
      </c>
      <c r="I25" s="66">
        <f t="shared" si="7"/>
        <v>828.3</v>
      </c>
      <c r="J25" s="66">
        <f t="shared" si="8"/>
        <v>828.3</v>
      </c>
      <c r="K25" s="66">
        <f t="shared" si="9"/>
        <v>828.3</v>
      </c>
      <c r="L25" s="66">
        <f t="shared" si="10"/>
        <v>828.3</v>
      </c>
      <c r="M25" s="66">
        <f t="shared" si="11"/>
        <v>828.3</v>
      </c>
      <c r="N25" s="66">
        <f t="shared" si="12"/>
        <v>0</v>
      </c>
      <c r="O25" s="66">
        <f t="shared" si="13"/>
        <v>0</v>
      </c>
    </row>
    <row r="26" spans="1:21" x14ac:dyDescent="0.2">
      <c r="A26" s="74">
        <v>291</v>
      </c>
      <c r="B26" s="74">
        <v>901</v>
      </c>
      <c r="C26" s="162">
        <v>525669</v>
      </c>
      <c r="D26" s="161"/>
      <c r="E26" s="161"/>
      <c r="F26" s="164">
        <f>ROUND(C26/$E$4,2)</f>
        <v>991.83</v>
      </c>
      <c r="G26" s="165">
        <f t="shared" si="6"/>
        <v>0.90000000002328306</v>
      </c>
      <c r="H26" s="164">
        <f t="shared" si="4"/>
        <v>525669.9</v>
      </c>
      <c r="I26" s="66">
        <f t="shared" si="7"/>
        <v>991.83</v>
      </c>
      <c r="J26" s="66">
        <f t="shared" si="8"/>
        <v>991.83</v>
      </c>
      <c r="K26" s="66">
        <f t="shared" si="9"/>
        <v>991.83</v>
      </c>
      <c r="L26" s="66">
        <f t="shared" si="10"/>
        <v>991.83</v>
      </c>
      <c r="M26" s="66">
        <f t="shared" si="11"/>
        <v>991.83</v>
      </c>
      <c r="N26" s="66">
        <f t="shared" si="12"/>
        <v>0</v>
      </c>
      <c r="O26" s="66">
        <f t="shared" si="13"/>
        <v>0</v>
      </c>
    </row>
    <row r="27" spans="1:21" x14ac:dyDescent="0.2">
      <c r="A27" s="74" t="s">
        <v>461</v>
      </c>
      <c r="B27" s="74">
        <v>901</v>
      </c>
      <c r="C27" s="162">
        <v>246542</v>
      </c>
      <c r="D27" s="161"/>
      <c r="E27" s="161"/>
      <c r="F27" s="164">
        <f t="shared" si="5"/>
        <v>465.17</v>
      </c>
      <c r="G27" s="165">
        <f t="shared" si="6"/>
        <v>-1.8999999999941792</v>
      </c>
      <c r="H27" s="164">
        <f t="shared" si="4"/>
        <v>246540.1</v>
      </c>
      <c r="I27" s="66">
        <f t="shared" si="7"/>
        <v>465.17</v>
      </c>
      <c r="J27" s="66">
        <f t="shared" si="8"/>
        <v>465.17</v>
      </c>
      <c r="K27" s="66">
        <f t="shared" si="9"/>
        <v>465.17</v>
      </c>
      <c r="L27" s="66">
        <f t="shared" si="10"/>
        <v>465.17</v>
      </c>
      <c r="M27" s="66">
        <f t="shared" si="11"/>
        <v>465.17</v>
      </c>
      <c r="N27" s="66">
        <f t="shared" si="12"/>
        <v>0</v>
      </c>
      <c r="O27" s="66">
        <f t="shared" si="13"/>
        <v>0</v>
      </c>
    </row>
    <row r="28" spans="1:21" x14ac:dyDescent="0.2">
      <c r="C28" s="83">
        <f>C15+C17+C18+C20+C22+C23+C24+C25+C26+C27+C19</f>
        <v>3476462</v>
      </c>
      <c r="F28" s="69"/>
      <c r="G28" s="174">
        <f>G16+G17+G18+G19+G20+G21+G22+G23+G24+G25+G26+G27</f>
        <v>-6.3999999985877594</v>
      </c>
      <c r="H28" s="163">
        <f>H16+H17+H18+H19+H20+H21+H22+H23+H24+H25+H26+H27</f>
        <v>23055793.399999995</v>
      </c>
      <c r="I28" s="163">
        <f>IF(I4=0,0,I16+I17+I18+I19+I20+I21+I22+I23+I24+I25+I26+I27)</f>
        <v>36087.39</v>
      </c>
      <c r="J28" s="163">
        <f t="shared" ref="J28:O28" si="14">IF(J4=0,0,J16+J17+J18+J19+J20+J21+J22+J23+J24+J25+J26+J27)</f>
        <v>71677.290000000008</v>
      </c>
      <c r="K28" s="163">
        <f t="shared" si="14"/>
        <v>47581.89</v>
      </c>
      <c r="L28" s="163">
        <f t="shared" si="14"/>
        <v>107720.89</v>
      </c>
      <c r="M28" s="163">
        <f t="shared" si="14"/>
        <v>53036.29</v>
      </c>
      <c r="N28" s="163">
        <f t="shared" si="14"/>
        <v>0</v>
      </c>
      <c r="O28" s="163">
        <f t="shared" si="14"/>
        <v>0</v>
      </c>
      <c r="P28" s="163"/>
    </row>
    <row r="29" spans="1:21" x14ac:dyDescent="0.2">
      <c r="I29" s="1003">
        <f>IF((I4+J4)=0,0,ROUND((I28*I4+J28*J4)/(I4+J4),2))</f>
        <v>36398.22</v>
      </c>
      <c r="J29" s="1003"/>
      <c r="K29" s="1003">
        <f t="shared" ref="K29" si="15">IF((K4+L4)=0,0,ROUND((K28*K4+L28*L4)/(K4+L4),2))</f>
        <v>48063</v>
      </c>
      <c r="L29" s="1003"/>
      <c r="M29" s="1003">
        <f t="shared" ref="M29" si="16">IF((M4+N4)=0,0,ROUND((M28*M4+N28*N4)/(M4+N4),2))</f>
        <v>53036.29</v>
      </c>
      <c r="N29" s="1003"/>
      <c r="O29" s="66">
        <f>O28</f>
        <v>0</v>
      </c>
    </row>
    <row r="30" spans="1:21" x14ac:dyDescent="0.2">
      <c r="N30" s="83"/>
    </row>
    <row r="32" spans="1:21" x14ac:dyDescent="0.2">
      <c r="I32" s="83">
        <f>I29*(I4+J4)+K29*(K4+L4)+M29*(M4+N4)+O4*O29-C6</f>
        <v>-6.830000001937151</v>
      </c>
    </row>
    <row r="36" spans="1:5" x14ac:dyDescent="0.2">
      <c r="A36" s="1011" t="s">
        <v>553</v>
      </c>
      <c r="B36" s="1011"/>
      <c r="C36" s="74"/>
      <c r="D36" s="74"/>
      <c r="E36" s="74"/>
    </row>
    <row r="37" spans="1:5" x14ac:dyDescent="0.2">
      <c r="A37" s="74"/>
      <c r="B37" s="74"/>
      <c r="C37" s="74" t="s">
        <v>97</v>
      </c>
      <c r="D37" s="74"/>
      <c r="E37" s="74"/>
    </row>
    <row r="38" spans="1:5" x14ac:dyDescent="0.2">
      <c r="A38" s="74"/>
      <c r="B38" s="74"/>
      <c r="C38" s="74" t="s">
        <v>90</v>
      </c>
      <c r="D38" s="74" t="s">
        <v>465</v>
      </c>
      <c r="E38" s="74" t="s">
        <v>466</v>
      </c>
    </row>
    <row r="39" spans="1:5" x14ac:dyDescent="0.2">
      <c r="A39" s="74"/>
      <c r="B39" s="74"/>
      <c r="C39" s="74">
        <v>8066.23</v>
      </c>
      <c r="D39" s="74">
        <v>0.81318889999999999</v>
      </c>
      <c r="E39" s="74">
        <f>E4</f>
        <v>530</v>
      </c>
    </row>
    <row r="40" spans="1:5" x14ac:dyDescent="0.2">
      <c r="A40" s="74"/>
      <c r="B40" s="74"/>
      <c r="C40" s="74"/>
      <c r="D40" s="74"/>
      <c r="E40" s="74"/>
    </row>
    <row r="41" spans="1:5" x14ac:dyDescent="0.2">
      <c r="A41" s="1016" t="s">
        <v>219</v>
      </c>
      <c r="B41" s="1016"/>
      <c r="C41" s="606">
        <f>C28-ROUND(C39*D39*E39,2)</f>
        <v>-3.4100000001490116</v>
      </c>
      <c r="D41" s="74"/>
      <c r="E41" s="74"/>
    </row>
    <row r="43" spans="1:5" ht="15" x14ac:dyDescent="0.25">
      <c r="A43" s="15" t="s">
        <v>577</v>
      </c>
      <c r="B43" s="70"/>
      <c r="C43" s="211"/>
      <c r="D43" s="941" t="s">
        <v>578</v>
      </c>
      <c r="E43" s="942"/>
    </row>
    <row r="44" spans="1:5" x14ac:dyDescent="0.2">
      <c r="A44" s="67"/>
      <c r="B44" s="67"/>
      <c r="C44" s="67"/>
      <c r="D44" s="67"/>
      <c r="E44" s="14"/>
    </row>
    <row r="45" spans="1:5" ht="15" x14ac:dyDescent="0.25">
      <c r="A45" s="11" t="s">
        <v>587</v>
      </c>
      <c r="B45" s="67"/>
      <c r="C45" s="212"/>
      <c r="D45" s="941" t="s">
        <v>580</v>
      </c>
      <c r="E45" s="942"/>
    </row>
  </sheetData>
  <mergeCells count="11">
    <mergeCell ref="K2:L2"/>
    <mergeCell ref="M2:N2"/>
    <mergeCell ref="I29:J29"/>
    <mergeCell ref="K29:L29"/>
    <mergeCell ref="M29:N29"/>
    <mergeCell ref="D43:E43"/>
    <mergeCell ref="D45:E45"/>
    <mergeCell ref="A41:B41"/>
    <mergeCell ref="A2:E2"/>
    <mergeCell ref="I2:J2"/>
    <mergeCell ref="A36:B36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10</vt:i4>
      </vt:variant>
    </vt:vector>
  </HeadingPairs>
  <TitlesOfParts>
    <vt:vector size="29" baseType="lpstr">
      <vt:lpstr>мз</vt:lpstr>
      <vt:lpstr>свод</vt:lpstr>
      <vt:lpstr>пр.1+2 </vt:lpstr>
      <vt:lpstr>пр.3</vt:lpstr>
      <vt:lpstr>пр.4</vt:lpstr>
      <vt:lpstr>пр.5</vt:lpstr>
      <vt:lpstr>пр.6</vt:lpstr>
      <vt:lpstr>проверка 2020</vt:lpstr>
      <vt:lpstr>проверка 2021</vt:lpstr>
      <vt:lpstr>проверка 2022</vt:lpstr>
      <vt:lpstr>304</vt:lpstr>
      <vt:lpstr>прил.1+2 фок</vt:lpstr>
      <vt:lpstr>прил.3 фок</vt:lpstr>
      <vt:lpstr>прил.4 фок</vt:lpstr>
      <vt:lpstr>прил.5 фок</vt:lpstr>
      <vt:lpstr>прил.6 фок</vt:lpstr>
      <vt:lpstr>свод  фок</vt:lpstr>
      <vt:lpstr>проверка фок</vt:lpstr>
      <vt:lpstr>прил1.мероприятия</vt:lpstr>
      <vt:lpstr>'свод  фок'!Заголовки_для_печати</vt:lpstr>
      <vt:lpstr>мз!Область_печати</vt:lpstr>
      <vt:lpstr>'пр.1+2 '!Область_печати</vt:lpstr>
      <vt:lpstr>пр.5!Область_печати</vt:lpstr>
      <vt:lpstr>'прил.1+2 фок'!Область_печати</vt:lpstr>
      <vt:lpstr>'прил.3 фок'!Область_печати</vt:lpstr>
      <vt:lpstr>'прил.5 фок'!Область_печати</vt:lpstr>
      <vt:lpstr>'прил.6 фок'!Область_печати</vt:lpstr>
      <vt:lpstr>свод!Область_печати</vt:lpstr>
      <vt:lpstr>'свод  фок'!Область_печати</vt:lpstr>
    </vt:vector>
  </TitlesOfParts>
  <Company>Управление образования города Пензы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smetanina</dc:creator>
  <cp:lastModifiedBy>Тамара</cp:lastModifiedBy>
  <cp:lastPrinted>2020-01-29T08:45:56Z</cp:lastPrinted>
  <dcterms:created xsi:type="dcterms:W3CDTF">2015-12-22T12:42:46Z</dcterms:created>
  <dcterms:modified xsi:type="dcterms:W3CDTF">2020-04-20T17:20:50Z</dcterms:modified>
</cp:coreProperties>
</file>